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8_{2B9C4451-B3B6-4BFA-AA33-4D03AA3A3248}" xr6:coauthVersionLast="47" xr6:coauthVersionMax="47" xr10:uidLastSave="{00000000-0000-0000-0000-000000000000}"/>
  <bookViews>
    <workbookView xWindow="-120" yWindow="-120" windowWidth="29040" windowHeight="15840" firstSheet="2" activeTab="7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 2." sheetId="11" r:id="rId7"/>
    <sheet name="kontrola" sheetId="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  <c r="D6" i="11"/>
  <c r="F6" i="11"/>
  <c r="G6" i="11"/>
  <c r="E6" i="11"/>
  <c r="G17" i="11"/>
  <c r="F17" i="11"/>
  <c r="E17" i="11"/>
  <c r="F52" i="11"/>
  <c r="G52" i="11"/>
  <c r="E52" i="11"/>
  <c r="C31" i="2" l="1"/>
  <c r="C34" i="2"/>
  <c r="F22" i="11"/>
  <c r="G22" i="11"/>
  <c r="E22" i="11"/>
  <c r="C37" i="8"/>
  <c r="E11" i="8"/>
  <c r="F11" i="8"/>
  <c r="C11" i="8"/>
  <c r="D11" i="8"/>
  <c r="B17" i="8"/>
  <c r="B47" i="8" l="1"/>
  <c r="B51" i="8"/>
  <c r="C51" i="11" l="1"/>
  <c r="C50" i="11"/>
  <c r="C47" i="11"/>
  <c r="C39" i="11"/>
  <c r="C38" i="11"/>
  <c r="C37" i="11"/>
  <c r="C33" i="11"/>
  <c r="C18" i="11"/>
  <c r="C19" i="11"/>
  <c r="C21" i="11"/>
  <c r="C20" i="11"/>
  <c r="C54" i="11"/>
  <c r="C56" i="11"/>
  <c r="C61" i="11"/>
  <c r="C60" i="11"/>
  <c r="C27" i="11"/>
  <c r="B10" i="9"/>
  <c r="B38" i="8"/>
  <c r="B39" i="8"/>
  <c r="B42" i="8"/>
  <c r="C31" i="11"/>
  <c r="C30" i="11" s="1"/>
  <c r="C28" i="11"/>
  <c r="C57" i="11"/>
  <c r="C24" i="11"/>
  <c r="C23" i="11"/>
  <c r="B11" i="5"/>
  <c r="B12" i="5"/>
  <c r="C11" i="5"/>
  <c r="C36" i="11" l="1"/>
  <c r="C52" i="11"/>
  <c r="C25" i="11"/>
  <c r="C17" i="11" s="1"/>
  <c r="C55" i="11"/>
  <c r="C59" i="11"/>
  <c r="D16" i="3" l="1"/>
  <c r="B50" i="8" l="1"/>
  <c r="B19" i="8"/>
  <c r="B43" i="8"/>
  <c r="D37" i="8"/>
  <c r="B53" i="8"/>
  <c r="B49" i="8"/>
  <c r="C48" i="8"/>
  <c r="B46" i="8"/>
  <c r="B45" i="8" s="1"/>
  <c r="B36" i="8"/>
  <c r="B10" i="8"/>
  <c r="B30" i="8"/>
  <c r="B28" i="8"/>
  <c r="B21" i="8"/>
  <c r="B18" i="8"/>
  <c r="B13" i="8"/>
  <c r="B11" i="8"/>
  <c r="D23" i="3"/>
  <c r="D11" i="3"/>
  <c r="D18" i="3"/>
  <c r="D17" i="3"/>
  <c r="D15" i="3"/>
  <c r="D14" i="3"/>
  <c r="D13" i="3"/>
  <c r="D12" i="3"/>
  <c r="B24" i="8"/>
  <c r="B15" i="9"/>
  <c r="D10" i="6"/>
  <c r="D40" i="3"/>
  <c r="D38" i="3"/>
  <c r="D35" i="3"/>
  <c r="D34" i="3"/>
  <c r="D33" i="3"/>
  <c r="D32" i="3" s="1"/>
  <c r="F22" i="10"/>
  <c r="F15" i="10"/>
  <c r="F12" i="10"/>
  <c r="F13" i="10"/>
  <c r="B14" i="8" l="1"/>
  <c r="F16" i="10" l="1"/>
  <c r="C23" i="8"/>
  <c r="E32" i="3" l="1"/>
  <c r="E11" i="3"/>
  <c r="E38" i="3"/>
  <c r="F40" i="10"/>
  <c r="G37" i="10" s="1"/>
  <c r="G40" i="10" s="1"/>
  <c r="H37" i="10" s="1"/>
  <c r="H40" i="10" s="1"/>
  <c r="I37" i="10" s="1"/>
  <c r="I40" i="10" s="1"/>
  <c r="J37" i="10" s="1"/>
  <c r="J40" i="10" s="1"/>
  <c r="J24" i="10"/>
  <c r="I24" i="10"/>
  <c r="H24" i="10"/>
  <c r="G24" i="10"/>
  <c r="J14" i="10"/>
  <c r="I14" i="10"/>
  <c r="H14" i="10"/>
  <c r="G14" i="10"/>
  <c r="F14" i="10"/>
  <c r="J11" i="10"/>
  <c r="I11" i="10"/>
  <c r="H11" i="10"/>
  <c r="H17" i="10" s="1"/>
  <c r="G11" i="10"/>
  <c r="F11" i="10"/>
  <c r="F17" i="10" l="1"/>
  <c r="F25" i="10" s="1"/>
  <c r="F31" i="10" s="1"/>
  <c r="F32" i="10" s="1"/>
  <c r="G17" i="10"/>
  <c r="G25" i="10" s="1"/>
  <c r="G31" i="10" s="1"/>
  <c r="G32" i="10" s="1"/>
  <c r="I17" i="10"/>
  <c r="I25" i="10" s="1"/>
  <c r="I31" i="10" s="1"/>
  <c r="I32" i="10" s="1"/>
  <c r="H25" i="10"/>
  <c r="H31" i="10" s="1"/>
  <c r="H32" i="10" s="1"/>
  <c r="J17" i="10"/>
  <c r="J25" i="10"/>
  <c r="J31" i="10" s="1"/>
  <c r="J32" i="10" s="1"/>
</calcChain>
</file>

<file path=xl/sharedStrings.xml><?xml version="1.0" encoding="utf-8"?>
<sst xmlns="http://schemas.openxmlformats.org/spreadsheetml/2006/main" count="322" uniqueCount="190">
  <si>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</si>
  <si>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</si>
  <si>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</si>
  <si>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</si>
  <si>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</si>
  <si>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</si>
  <si>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</si>
  <si>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</si>
  <si>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</si>
  <si>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</si>
  <si>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</si>
  <si>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</si>
  <si>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</si>
  <si>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</si>
  <si>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</si>
  <si>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</si>
  <si>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</si>
  <si>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I. OPĆI DIO</t>
  </si>
  <si>
    <t>Šifra</t>
  </si>
  <si>
    <t xml:space="preserve">Naziv </t>
  </si>
  <si>
    <t>Materijalni rashodi</t>
  </si>
  <si>
    <t>Izdaci za otplatu glavnice primljenih kredita i zajmova</t>
  </si>
  <si>
    <t>Naziv izvora financiranja</t>
  </si>
  <si>
    <t>A) SAŽETAK RAČUNA PRIHODA I RASHODA</t>
  </si>
  <si>
    <t>B) SAŽETAK RAČUNA FINANCIRANJA</t>
  </si>
  <si>
    <t>Projekcija 
za 2025.</t>
  </si>
  <si>
    <t>Prihodi od prodaje proizvedene dugotrajne imovine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</si>
  <si>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</si>
  <si>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</si>
  <si>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</si>
  <si>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</si>
  <si>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</si>
  <si>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</si>
  <si>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</si>
  <si>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</si>
  <si>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</si>
  <si>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</si>
  <si>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</si>
  <si>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</si>
  <si>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</si>
  <si>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</si>
  <si>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</si>
  <si>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</si>
  <si>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</si>
  <si>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</si>
  <si>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</si>
  <si>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</si>
  <si>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</si>
  <si>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</si>
  <si>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</si>
  <si>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</si>
  <si>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</si>
  <si>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</si>
  <si>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</si>
  <si>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</si>
  <si>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</si>
  <si>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</si>
  <si>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</si>
  <si>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</si>
  <si>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>B. RAČUN FINANCIRANJA PREMA EKONOMSKOJ KLASIFIKACIJI</t>
  </si>
  <si>
    <t>B. RAČUN FINANCIRANJA PREMA IZVORIMA FINANCIRANJA</t>
  </si>
  <si>
    <t>PRIMICI UKUPNO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</si>
  <si>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</si>
  <si>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</si>
  <si>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</si>
  <si>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</si>
  <si>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</si>
  <si>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</si>
  <si>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</si>
  <si>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</si>
  <si>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</si>
  <si>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</si>
  <si>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Ostali prihodi</t>
  </si>
  <si>
    <t>Financijski rashodi</t>
  </si>
  <si>
    <t>Naknade građanima i kućanstvima na temelju
 osiguranja i druge naknade</t>
  </si>
  <si>
    <t>Ostali rashodi</t>
  </si>
  <si>
    <t>Rashodi za dodatna ulaganja
 na nefinancijskoj imovini</t>
  </si>
  <si>
    <t>Nefinancijska imovina-višak</t>
  </si>
  <si>
    <t xml:space="preserve">  13 Opći prihodi i primici</t>
  </si>
  <si>
    <t xml:space="preserve">  52 Ostale pomoći-
Shema školskog voća</t>
  </si>
  <si>
    <t xml:space="preserve">  11 Opći prihodi i primici-
natjecanja</t>
  </si>
  <si>
    <t>3 Vlastitti prihodi</t>
  </si>
  <si>
    <t>Višak vlastitih</t>
  </si>
  <si>
    <t>Višak prihoda za posebne namjene</t>
  </si>
  <si>
    <t>Višak - pomoći (aktivi, RCK)</t>
  </si>
  <si>
    <t>6 Donacije</t>
  </si>
  <si>
    <t>6.1.1 Tekuće i kapitalne donacije</t>
  </si>
  <si>
    <t xml:space="preserve">93  Višak vlastittih </t>
  </si>
  <si>
    <t>94 Višak prihoda za posebne namjrene</t>
  </si>
  <si>
    <t>95 - višak pomoći</t>
  </si>
  <si>
    <t>7.1.1  Prihodi od prodaje nefinancijske imovine</t>
  </si>
  <si>
    <t>96 - višak od nef.imovine</t>
  </si>
  <si>
    <t>Aktivnost A100007</t>
  </si>
  <si>
    <t>Školska natjecanja i smotre</t>
  </si>
  <si>
    <t>Opći prihodi i primici</t>
  </si>
  <si>
    <t>Školska kuhinja</t>
  </si>
  <si>
    <t>5 2 14</t>
  </si>
  <si>
    <t>Pomoći</t>
  </si>
  <si>
    <t>Kontrolna tablica po izvorima financiranja</t>
  </si>
  <si>
    <t>Oznaka If</t>
  </si>
  <si>
    <t>1.1.   i 1.3.</t>
  </si>
  <si>
    <t>PRIHODI</t>
  </si>
  <si>
    <t>RASHODI</t>
  </si>
  <si>
    <t>Manjak financiran iz tekućih prihoda</t>
  </si>
  <si>
    <t>Vlastiti prihodi</t>
  </si>
  <si>
    <t>3.1.1.</t>
  </si>
  <si>
    <t>Prihodi za posebne namjene</t>
  </si>
  <si>
    <t>4.3.1.</t>
  </si>
  <si>
    <t>5.2.2.</t>
  </si>
  <si>
    <r>
      <t xml:space="preserve">Pomoći </t>
    </r>
    <r>
      <rPr>
        <sz val="11"/>
        <color theme="1"/>
        <rFont val="Calibri"/>
        <family val="2"/>
        <charset val="238"/>
        <scheme val="minor"/>
      </rPr>
      <t>(pomoćnice u nastavi)</t>
    </r>
  </si>
  <si>
    <t>5 2 5</t>
  </si>
  <si>
    <t>Pomoći (sh.škol.voća)</t>
  </si>
  <si>
    <t>6.1.1.</t>
  </si>
  <si>
    <t>Donacije</t>
  </si>
  <si>
    <t xml:space="preserve">Prihodi od nef. Imovine </t>
  </si>
  <si>
    <t>7 1 1</t>
  </si>
  <si>
    <t xml:space="preserve">9221 Višak korišten  za rashode </t>
  </si>
  <si>
    <t>Ukupni prihodi</t>
  </si>
  <si>
    <t>Ukupni rashodi</t>
  </si>
  <si>
    <t xml:space="preserve">  13 Opći prihodi i primici K</t>
  </si>
  <si>
    <t xml:space="preserve">  13 Opći prihodi i primici A</t>
  </si>
  <si>
    <t>Primici od prodaje dionica i udjela u glavnici</t>
  </si>
  <si>
    <t xml:space="preserve">  31 Vlastiti prihodi (PBZ dionice)</t>
  </si>
  <si>
    <t>3 1 Vlastiti prihodi (64, 66,68)</t>
  </si>
  <si>
    <t xml:space="preserve">  31 Vlastiti prihodi - 3</t>
  </si>
  <si>
    <t xml:space="preserve">  31 Vlastiti prihodi - 4</t>
  </si>
  <si>
    <t>5.2  Pomoći iz inozemstva i od subjekata unutar općeg proračuna</t>
  </si>
  <si>
    <t>3.1  Prihodi od upravnih i administrativnih pristojbi, pristojbi po posebnim propisima i nakanda</t>
  </si>
  <si>
    <t>6.1  Donacije od pravnih i fizičkih osoba izvan općeg proračuna i povrat donacija po protestiranim jamstvima.
Prihodi od prodaje proizvoda i robe, te pruženih usluga</t>
  </si>
  <si>
    <t>3.1  Vlastiti prihodi, od prodaje proizvoda i robe</t>
  </si>
  <si>
    <t>3.1  Vlastiti prihodi od imovine, financijske imovine</t>
  </si>
  <si>
    <r>
      <rPr>
        <b/>
        <sz val="12"/>
        <color rgb="FF002060"/>
        <rFont val="Calibri"/>
        <family val="2"/>
        <charset val="238"/>
        <scheme val="minor"/>
      </rPr>
      <t>TEHNIČKA ŠKOLA KUTINA</t>
    </r>
    <r>
      <rPr>
        <sz val="11"/>
        <color rgb="FF002060"/>
        <rFont val="Calibri"/>
        <family val="2"/>
        <charset val="238"/>
        <scheme val="minor"/>
      </rPr>
      <t xml:space="preserve">
KUTINA, Hrvatskih branitelja 6
OIB: 49386562260</t>
    </r>
  </si>
  <si>
    <t>09 Obrazovanje</t>
  </si>
  <si>
    <t>092 Više srednješkolsko</t>
  </si>
  <si>
    <t>II  POSEBNI DIO</t>
  </si>
  <si>
    <r>
      <rPr>
        <b/>
        <sz val="10"/>
        <rFont val="Arial"/>
        <family val="2"/>
      </rPr>
      <t>Izvor  1.1.</t>
    </r>
  </si>
  <si>
    <r>
      <rPr>
        <b/>
        <sz val="10"/>
        <rFont val="Arial"/>
        <family val="2"/>
      </rPr>
      <t>OPĆI PRIHODI I PRIMICI</t>
    </r>
  </si>
  <si>
    <r>
      <rPr>
        <b/>
        <sz val="10"/>
        <rFont val="Arial"/>
        <family val="2"/>
      </rPr>
      <t>TEHNIČKA ŠKOLA KUTINA</t>
    </r>
  </si>
  <si>
    <r>
      <rPr>
        <b/>
        <sz val="10"/>
        <rFont val="Arial"/>
        <family val="2"/>
      </rPr>
      <t>Rashodi poslovanja</t>
    </r>
  </si>
  <si>
    <r>
      <rPr>
        <sz val="10"/>
        <rFont val="Arial"/>
        <family val="2"/>
      </rPr>
      <t>Materijalni rashodi</t>
    </r>
  </si>
  <si>
    <t>Aktivnost A100010</t>
  </si>
  <si>
    <r>
      <rPr>
        <b/>
        <sz val="10"/>
        <rFont val="Arial"/>
        <family val="2"/>
      </rPr>
      <t>Izvor  5.2.14</t>
    </r>
  </si>
  <si>
    <r>
      <rPr>
        <b/>
        <sz val="10"/>
        <rFont val="Arial"/>
        <family val="2"/>
      </rPr>
      <t>POMOĆI-AGENCIJA ZA PLAĆANJA U POLJOPRIVREDI</t>
    </r>
  </si>
  <si>
    <t>Aktivnost A100011</t>
  </si>
  <si>
    <t>Izvor  6.1.1.</t>
  </si>
  <si>
    <t>TEKUĆE DONACIJE - PK</t>
  </si>
  <si>
    <t xml:space="preserve">  Materijalni rashodi   </t>
  </si>
  <si>
    <t>Izvor  7.1.1.</t>
  </si>
  <si>
    <t>PRIHODI OD PRODAJE NEFINANCIJSKE IMOVINE-PK</t>
  </si>
  <si>
    <t>Kapitalni projekt
K100002</t>
  </si>
  <si>
    <t>Ulaganja u objekte školstva</t>
  </si>
  <si>
    <t>Izvor  1.3.</t>
  </si>
  <si>
    <t>Rashodi za dodatna ulaganja na nefinancijskoj imovini</t>
  </si>
  <si>
    <t>Tekući projekt
T 100004</t>
  </si>
  <si>
    <t>Osiguranje pomoćnika u nastavi učenicima s teškoćama 
"Učimo zajedno" i "Jednake mogućnosti"</t>
  </si>
  <si>
    <t>Izvor  5.2.5.</t>
  </si>
  <si>
    <t>POMOĆI-MINISTARSTVO ZNANOSTI I OBRAZOVANJA</t>
  </si>
  <si>
    <t>Redovni program SŠ</t>
  </si>
  <si>
    <r>
      <rPr>
        <b/>
        <sz val="9"/>
        <rFont val="Arial"/>
        <family val="2"/>
      </rPr>
      <t>Izvor  1.1.</t>
    </r>
  </si>
  <si>
    <r>
      <rPr>
        <b/>
        <sz val="9"/>
        <rFont val="Arial"/>
        <family val="2"/>
      </rPr>
      <t>OPĆI PRIHODI I PRIMICI</t>
    </r>
  </si>
  <si>
    <r>
      <rPr>
        <b/>
        <sz val="9"/>
        <rFont val="Arial"/>
        <family val="2"/>
      </rPr>
      <t>Rashodi poslovanja</t>
    </r>
  </si>
  <si>
    <r>
      <rPr>
        <sz val="9"/>
        <rFont val="Arial"/>
        <family val="2"/>
      </rPr>
      <t>Materijalni rashodi</t>
    </r>
  </si>
  <si>
    <r>
      <rPr>
        <b/>
        <sz val="9"/>
        <rFont val="Arial"/>
        <family val="2"/>
      </rPr>
      <t>Izvor  1.3.</t>
    </r>
  </si>
  <si>
    <r>
      <rPr>
        <sz val="9"/>
        <rFont val="Arial"/>
        <family val="2"/>
      </rPr>
      <t>Financijski rashodi</t>
    </r>
  </si>
  <si>
    <r>
      <rPr>
        <b/>
        <sz val="9"/>
        <rFont val="Arial"/>
        <family val="2"/>
      </rPr>
      <t>Izvor  3.1.1</t>
    </r>
  </si>
  <si>
    <r>
      <rPr>
        <b/>
        <sz val="9"/>
        <rFont val="Arial"/>
        <family val="2"/>
      </rPr>
      <t>VLASTITI PRIHODI-PK</t>
    </r>
  </si>
  <si>
    <r>
      <rPr>
        <sz val="9"/>
        <rFont val="Arial"/>
        <family val="2"/>
      </rPr>
      <t>Naknade građanima i kućanstvima na temelju osiguranja i druge naknade</t>
    </r>
  </si>
  <si>
    <r>
      <rPr>
        <b/>
        <sz val="9"/>
        <rFont val="Arial"/>
        <family val="2"/>
      </rPr>
      <t>Rashodi za nabavu nefinancijske imovine</t>
    </r>
  </si>
  <si>
    <r>
      <rPr>
        <sz val="9"/>
        <rFont val="Arial"/>
        <family val="2"/>
      </rPr>
      <t>Rashodi za nabavu proizvedene dugotrajne imovine</t>
    </r>
  </si>
  <si>
    <r>
      <rPr>
        <b/>
        <sz val="9"/>
        <rFont val="Arial"/>
        <family val="2"/>
      </rPr>
      <t>Izvor  4.3.1</t>
    </r>
  </si>
  <si>
    <r>
      <rPr>
        <b/>
        <sz val="9"/>
        <rFont val="Arial"/>
        <family val="2"/>
      </rPr>
      <t>PRIHODI ZA POSEBNE NAMJENE- PK</t>
    </r>
  </si>
  <si>
    <r>
      <rPr>
        <b/>
        <sz val="9"/>
        <rFont val="Arial"/>
        <family val="2"/>
      </rPr>
      <t>Izvor  5.2.2</t>
    </r>
  </si>
  <si>
    <r>
      <rPr>
        <b/>
        <sz val="9"/>
        <rFont val="Arial"/>
        <family val="2"/>
      </rPr>
      <t>POMOĆI-PK</t>
    </r>
  </si>
  <si>
    <t>13 Opći prihodi i primici-pov.</t>
  </si>
  <si>
    <t>8 Primici od financijske imovine</t>
  </si>
  <si>
    <t>83  Primici od prodaje dionica i udjela u glavnici</t>
  </si>
  <si>
    <t>94 - višak  posebne namjene</t>
  </si>
  <si>
    <t>92-manjak</t>
  </si>
  <si>
    <t>Napomena: Redak donos viška/manjka iz prethodnih godina služi kao informacija, proračun se uravnotežuje retkom višak/manjak iz prethodne godine koji će se rasporediti</t>
  </si>
  <si>
    <t>Višak višak nef.im.                            1.857</t>
  </si>
  <si>
    <r>
      <rPr>
        <sz val="10"/>
        <rFont val="Arial"/>
        <family val="2"/>
      </rPr>
      <t>Materijalni rashodi</t>
    </r>
    <r>
      <rPr>
        <sz val="10"/>
        <rFont val="Arial"/>
        <family val="2"/>
        <charset val="238"/>
      </rPr>
      <t>-shema školskog voća</t>
    </r>
  </si>
  <si>
    <r>
      <rPr>
        <sz val="10"/>
        <rFont val="Arial"/>
        <family val="2"/>
      </rPr>
      <t>Materijalni rashodi</t>
    </r>
    <r>
      <rPr>
        <sz val="10"/>
        <rFont val="Arial"/>
        <family val="2"/>
        <charset val="238"/>
      </rPr>
      <t>-natjecanja</t>
    </r>
  </si>
  <si>
    <r>
      <rPr>
        <sz val="9"/>
        <rFont val="Arial"/>
        <family val="2"/>
      </rPr>
      <t>Materijalni rashodi</t>
    </r>
    <r>
      <rPr>
        <sz val="9"/>
        <rFont val="Arial"/>
        <family val="2"/>
        <charset val="238"/>
      </rPr>
      <t xml:space="preserve"> (rač.usluge, stud.put.)</t>
    </r>
  </si>
  <si>
    <t>OPĆI PRIHODI SREDNJE ŠKOLE</t>
  </si>
  <si>
    <t>5 Pomoći (k 63)</t>
  </si>
  <si>
    <t>4 Prihodi za posebne namjene ( k 65)</t>
  </si>
  <si>
    <t>1 Opći prihodi i primici                ( k 671) SMŽ</t>
  </si>
  <si>
    <t>6 Donacije ( k 66)</t>
  </si>
  <si>
    <t>7  Prihodi od nef.imovine</t>
  </si>
  <si>
    <t xml:space="preserve"> FINANCIJSKI PLAN PRORAČUNSKOG KORISNIKA JEDINICE LOKALNE I PODRUČNE (REGIONALNE) SAMOUPRAVE 
ZA 2024. I PROJEKCIJA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</si>
</sst>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[$€-1]_-;\-* #,##0\ [$€-1]_-;_-* &quot;-&quot;??\ [$€-1]_-;_-@_-"/>
  </numFmts>
  <fonts count="5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color rgb="FF002060"/>
      <name val="Calibri"/>
      <family val="2"/>
      <scheme val="minor"/>
    </font>
    <font>
      <b/>
      <i/>
      <sz val="9"/>
      <color rgb="FF002060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11"/>
      <color rgb="FF002060"/>
      <name val="Calibri"/>
      <family val="2"/>
      <scheme val="minor"/>
    </font>
    <font>
      <sz val="8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2"/>
      <color rgb="FF00206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9"/>
      <color rgb="FF00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sz val="1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25" fillId="0" borderId="0"/>
    <xf numFmtId="43" fontId="28" fillId="0" borderId="0"/>
    <xf numFmtId="0" fontId="30" fillId="0" borderId="0">
      <alignment vertical="top"/>
      <protection locked="0"/>
    </xf>
    <xf numFmtId="0" fontId="31" fillId="0" borderId="0"/>
    <xf numFmtId="0" fontId="26" fillId="0" borderId="0"/>
    <xf numFmtId="0" fontId="28" fillId="0" borderId="0"/>
    <xf numFmtId="0" fontId="29" fillId="0" borderId="0"/>
    <xf numFmtId="0" fontId="26" fillId="0" borderId="0"/>
    <xf numFmtId="0" fontId="32" fillId="0" borderId="0"/>
    <xf numFmtId="0" fontId="28" fillId="0" borderId="0"/>
    <xf numFmtId="0" fontId="35" fillId="0" borderId="0"/>
    <xf numFmtId="0" fontId="32" fillId="0" borderId="0"/>
  </cellStyleXfs>
  <cellXfs count="28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quotePrefix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7" fillId="6" borderId="3" xfId="0" applyFont="1" applyFill="1" applyBorder="1" applyAlignment="1">
      <alignment horizontal="left" vertical="center" wrapText="1"/>
    </xf>
    <xf numFmtId="49" fontId="20" fillId="7" borderId="3" xfId="0" applyNumberFormat="1" applyFont="1" applyFill="1" applyBorder="1" applyAlignment="1">
      <alignment horizontal="left" vertical="center" wrapText="1"/>
    </xf>
    <xf numFmtId="0" fontId="21" fillId="8" borderId="3" xfId="0" applyFont="1" applyFill="1" applyBorder="1" applyAlignment="1">
      <alignment horizontal="left" vertical="center" wrapText="1"/>
    </xf>
    <xf numFmtId="49" fontId="21" fillId="9" borderId="3" xfId="0" applyNumberFormat="1" applyFont="1" applyFill="1" applyBorder="1" applyAlignment="1">
      <alignment horizontal="left" vertical="center" wrapText="1"/>
    </xf>
    <xf numFmtId="49" fontId="22" fillId="10" borderId="3" xfId="0" applyNumberFormat="1" applyFont="1" applyFill="1" applyBorder="1" applyAlignment="1">
      <alignment horizontal="left" vertical="center" wrapText="1"/>
    </xf>
    <xf numFmtId="0" fontId="7" fillId="11" borderId="3" xfId="0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3" fontId="22" fillId="5" borderId="3" xfId="0" applyNumberFormat="1" applyFont="1" applyFill="1" applyBorder="1" applyAlignment="1">
      <alignment horizontal="left" vertical="center"/>
    </xf>
    <xf numFmtId="49" fontId="22" fillId="12" borderId="3" xfId="0" applyNumberFormat="1" applyFont="1" applyFill="1" applyBorder="1" applyAlignment="1">
      <alignment horizontal="left" vertical="center" wrapText="1"/>
    </xf>
    <xf numFmtId="0" fontId="9" fillId="13" borderId="3" xfId="0" applyFont="1" applyFill="1" applyBorder="1" applyAlignment="1">
      <alignment horizontal="left" vertical="center" wrapText="1"/>
    </xf>
    <xf numFmtId="0" fontId="9" fillId="14" borderId="3" xfId="0" applyFont="1" applyFill="1" applyBorder="1" applyAlignment="1">
      <alignment vertical="center" wrapText="1"/>
    </xf>
    <xf numFmtId="3" fontId="3" fillId="13" borderId="4" xfId="0" applyNumberFormat="1" applyFont="1" applyFill="1" applyBorder="1" applyAlignment="1">
      <alignment horizontal="right"/>
    </xf>
    <xf numFmtId="0" fontId="9" fillId="15" borderId="3" xfId="0" applyFont="1" applyFill="1" applyBorder="1" applyAlignment="1">
      <alignment horizontal="left" vertical="center" wrapText="1"/>
    </xf>
    <xf numFmtId="3" fontId="3" fillId="15" borderId="4" xfId="0" applyNumberFormat="1" applyFont="1" applyFill="1" applyBorder="1" applyAlignment="1">
      <alignment horizontal="right"/>
    </xf>
    <xf numFmtId="0" fontId="8" fillId="14" borderId="3" xfId="0" quotePrefix="1" applyFont="1" applyFill="1" applyBorder="1" applyAlignment="1">
      <alignment horizontal="left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8" fillId="14" borderId="3" xfId="0" quotePrefix="1" applyFont="1" applyFill="1" applyBorder="1" applyAlignment="1">
      <alignment horizontal="left" vertical="center"/>
    </xf>
    <xf numFmtId="3" fontId="3" fillId="14" borderId="3" xfId="0" applyNumberFormat="1" applyFont="1" applyFill="1" applyBorder="1" applyAlignment="1">
      <alignment horizontal="right"/>
    </xf>
    <xf numFmtId="3" fontId="3" fillId="14" borderId="4" xfId="0" applyNumberFormat="1" applyFont="1" applyFill="1" applyBorder="1" applyAlignment="1">
      <alignment horizontal="right"/>
    </xf>
    <xf numFmtId="0" fontId="6" fillId="16" borderId="3" xfId="0" applyFont="1" applyFill="1" applyBorder="1" applyAlignment="1">
      <alignment horizontal="left" vertical="center" wrapText="1"/>
    </xf>
    <xf numFmtId="3" fontId="3" fillId="16" borderId="4" xfId="0" applyNumberFormat="1" applyFont="1" applyFill="1" applyBorder="1" applyAlignment="1">
      <alignment horizontal="right"/>
    </xf>
    <xf numFmtId="3" fontId="3" fillId="16" borderId="3" xfId="0" applyNumberFormat="1" applyFont="1" applyFill="1" applyBorder="1" applyAlignment="1">
      <alignment horizontal="right"/>
    </xf>
    <xf numFmtId="3" fontId="3" fillId="16" borderId="3" xfId="0" applyNumberFormat="1" applyFont="1" applyFill="1" applyBorder="1" applyAlignment="1">
      <alignment horizontal="right" wrapText="1"/>
    </xf>
    <xf numFmtId="0" fontId="8" fillId="16" borderId="3" xfId="0" quotePrefix="1" applyFont="1" applyFill="1" applyBorder="1" applyAlignment="1">
      <alignment horizontal="left" vertical="center"/>
    </xf>
    <xf numFmtId="0" fontId="8" fillId="16" borderId="3" xfId="0" quotePrefix="1" applyFont="1" applyFill="1" applyBorder="1" applyAlignment="1">
      <alignment horizontal="left" vertical="center" wrapText="1"/>
    </xf>
    <xf numFmtId="3" fontId="3" fillId="16" borderId="3" xfId="0" applyNumberFormat="1" applyFont="1" applyFill="1" applyBorder="1" applyAlignment="1">
      <alignment horizontal="center"/>
    </xf>
    <xf numFmtId="0" fontId="6" fillId="9" borderId="3" xfId="0" applyFont="1" applyFill="1" applyBorder="1" applyAlignment="1">
      <alignment horizontal="left" vertical="center" wrapText="1"/>
    </xf>
    <xf numFmtId="3" fontId="3" fillId="9" borderId="4" xfId="0" applyNumberFormat="1" applyFont="1" applyFill="1" applyBorder="1" applyAlignment="1">
      <alignment horizontal="right"/>
    </xf>
    <xf numFmtId="3" fontId="3" fillId="9" borderId="3" xfId="0" applyNumberFormat="1" applyFont="1" applyFill="1" applyBorder="1" applyAlignment="1">
      <alignment horizontal="center"/>
    </xf>
    <xf numFmtId="3" fontId="3" fillId="9" borderId="3" xfId="0" applyNumberFormat="1" applyFont="1" applyFill="1" applyBorder="1" applyAlignment="1">
      <alignment horizontal="right"/>
    </xf>
    <xf numFmtId="3" fontId="3" fillId="9" borderId="3" xfId="0" applyNumberFormat="1" applyFont="1" applyFill="1" applyBorder="1" applyAlignment="1">
      <alignment horizontal="right" wrapText="1"/>
    </xf>
    <xf numFmtId="0" fontId="8" fillId="9" borderId="3" xfId="0" quotePrefix="1" applyFont="1" applyFill="1" applyBorder="1" applyAlignment="1">
      <alignment horizontal="left" vertical="center" wrapText="1"/>
    </xf>
    <xf numFmtId="0" fontId="8" fillId="17" borderId="3" xfId="0" quotePrefix="1" applyFont="1" applyFill="1" applyBorder="1" applyAlignment="1">
      <alignment horizontal="left" vertical="center" wrapText="1"/>
    </xf>
    <xf numFmtId="3" fontId="3" fillId="17" borderId="4" xfId="0" applyNumberFormat="1" applyFont="1" applyFill="1" applyBorder="1" applyAlignment="1">
      <alignment horizontal="right"/>
    </xf>
    <xf numFmtId="3" fontId="3" fillId="17" borderId="3" xfId="0" applyNumberFormat="1" applyFont="1" applyFill="1" applyBorder="1" applyAlignment="1">
      <alignment horizontal="right"/>
    </xf>
    <xf numFmtId="3" fontId="3" fillId="14" borderId="3" xfId="0" applyNumberFormat="1" applyFont="1" applyFill="1" applyBorder="1" applyAlignment="1">
      <alignment horizontal="center"/>
    </xf>
    <xf numFmtId="3" fontId="3" fillId="13" borderId="3" xfId="0" applyNumberFormat="1" applyFont="1" applyFill="1" applyBorder="1" applyAlignment="1">
      <alignment horizontal="center"/>
    </xf>
    <xf numFmtId="3" fontId="3" fillId="15" borderId="3" xfId="0" applyNumberFormat="1" applyFont="1" applyFill="1" applyBorder="1" applyAlignment="1">
      <alignment horizontal="center"/>
    </xf>
    <xf numFmtId="3" fontId="3" fillId="17" borderId="3" xfId="0" applyNumberFormat="1" applyFont="1" applyFill="1" applyBorder="1" applyAlignment="1">
      <alignment horizontal="center"/>
    </xf>
    <xf numFmtId="0" fontId="24" fillId="18" borderId="3" xfId="0" quotePrefix="1" applyFont="1" applyFill="1" applyBorder="1" applyAlignment="1">
      <alignment horizontal="left" vertical="center" wrapText="1"/>
    </xf>
    <xf numFmtId="3" fontId="3" fillId="18" borderId="4" xfId="0" applyNumberFormat="1" applyFont="1" applyFill="1" applyBorder="1" applyAlignment="1">
      <alignment horizontal="right"/>
    </xf>
    <xf numFmtId="3" fontId="3" fillId="18" borderId="3" xfId="0" applyNumberFormat="1" applyFont="1" applyFill="1" applyBorder="1" applyAlignment="1">
      <alignment horizontal="center"/>
    </xf>
    <xf numFmtId="3" fontId="3" fillId="18" borderId="3" xfId="0" applyNumberFormat="1" applyFont="1" applyFill="1" applyBorder="1"/>
    <xf numFmtId="3" fontId="3" fillId="18" borderId="3" xfId="0" applyNumberFormat="1" applyFont="1" applyFill="1" applyBorder="1" applyAlignment="1">
      <alignment horizontal="right"/>
    </xf>
    <xf numFmtId="3" fontId="3" fillId="18" borderId="3" xfId="0" applyNumberFormat="1" applyFont="1" applyFill="1" applyBorder="1" applyAlignment="1">
      <alignment horizontal="right" wrapText="1"/>
    </xf>
    <xf numFmtId="0" fontId="8" fillId="18" borderId="3" xfId="0" quotePrefix="1" applyFont="1" applyFill="1" applyBorder="1" applyAlignment="1">
      <alignment horizontal="left" vertical="center" wrapText="1"/>
    </xf>
    <xf numFmtId="3" fontId="6" fillId="15" borderId="3" xfId="0" applyNumberFormat="1" applyFont="1" applyFill="1" applyBorder="1" applyAlignment="1">
      <alignment horizontal="center"/>
    </xf>
    <xf numFmtId="3" fontId="6" fillId="16" borderId="3" xfId="0" applyNumberFormat="1" applyFont="1" applyFill="1" applyBorder="1" applyAlignment="1">
      <alignment horizontal="center"/>
    </xf>
    <xf numFmtId="0" fontId="0" fillId="14" borderId="0" xfId="0" applyFill="1"/>
    <xf numFmtId="0" fontId="1" fillId="14" borderId="0" xfId="0" applyFont="1" applyFill="1"/>
    <xf numFmtId="3" fontId="0" fillId="14" borderId="0" xfId="0" applyNumberFormat="1" applyFill="1"/>
    <xf numFmtId="0" fontId="0" fillId="13" borderId="0" xfId="0" applyFill="1"/>
    <xf numFmtId="0" fontId="1" fillId="13" borderId="0" xfId="0" applyFont="1" applyFill="1"/>
    <xf numFmtId="164" fontId="0" fillId="13" borderId="0" xfId="0" applyNumberFormat="1" applyFill="1"/>
    <xf numFmtId="164" fontId="0" fillId="0" borderId="0" xfId="0" applyNumberFormat="1"/>
    <xf numFmtId="0" fontId="0" fillId="19" borderId="0" xfId="0" applyFill="1"/>
    <xf numFmtId="0" fontId="1" fillId="19" borderId="0" xfId="0" applyFont="1" applyFill="1"/>
    <xf numFmtId="164" fontId="0" fillId="19" borderId="0" xfId="0" applyNumberFormat="1" applyFill="1"/>
    <xf numFmtId="0" fontId="0" fillId="20" borderId="0" xfId="0" applyFill="1"/>
    <xf numFmtId="0" fontId="1" fillId="20" borderId="0" xfId="0" applyFont="1" applyFill="1"/>
    <xf numFmtId="164" fontId="0" fillId="20" borderId="0" xfId="0" applyNumberFormat="1" applyFill="1"/>
    <xf numFmtId="14" fontId="0" fillId="14" borderId="0" xfId="0" applyNumberFormat="1" applyFill="1"/>
    <xf numFmtId="164" fontId="0" fillId="14" borderId="0" xfId="0" applyNumberFormat="1" applyFill="1"/>
    <xf numFmtId="0" fontId="0" fillId="21" borderId="0" xfId="0" applyFill="1"/>
    <xf numFmtId="0" fontId="1" fillId="21" borderId="0" xfId="0" applyFont="1" applyFill="1"/>
    <xf numFmtId="164" fontId="0" fillId="21" borderId="0" xfId="0" applyNumberFormat="1" applyFill="1"/>
    <xf numFmtId="0" fontId="0" fillId="22" borderId="0" xfId="0" applyFill="1"/>
    <xf numFmtId="0" fontId="1" fillId="22" borderId="0" xfId="0" applyFont="1" applyFill="1"/>
    <xf numFmtId="164" fontId="0" fillId="22" borderId="0" xfId="0" applyNumberFormat="1" applyFill="1"/>
    <xf numFmtId="0" fontId="0" fillId="23" borderId="0" xfId="0" applyFill="1"/>
    <xf numFmtId="164" fontId="0" fillId="23" borderId="0" xfId="0" applyNumberFormat="1" applyFill="1"/>
    <xf numFmtId="164" fontId="1" fillId="0" borderId="0" xfId="0" applyNumberFormat="1" applyFont="1"/>
    <xf numFmtId="3" fontId="3" fillId="0" borderId="3" xfId="0" applyNumberFormat="1" applyFont="1" applyBorder="1" applyAlignment="1">
      <alignment horizontal="right"/>
    </xf>
    <xf numFmtId="3" fontId="6" fillId="14" borderId="3" xfId="0" applyNumberFormat="1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left" vertical="center" wrapText="1"/>
    </xf>
    <xf numFmtId="3" fontId="3" fillId="14" borderId="4" xfId="0" applyNumberFormat="1" applyFont="1" applyFill="1" applyBorder="1" applyAlignment="1">
      <alignment horizontal="center"/>
    </xf>
    <xf numFmtId="3" fontId="6" fillId="0" borderId="4" xfId="0" applyNumberFormat="1" applyFont="1" applyBorder="1" applyAlignment="1">
      <alignment horizontal="center" vertical="center" wrapText="1"/>
    </xf>
    <xf numFmtId="0" fontId="9" fillId="13" borderId="3" xfId="0" applyFont="1" applyFill="1" applyBorder="1" applyAlignment="1">
      <alignment vertical="center" wrapText="1"/>
    </xf>
    <xf numFmtId="0" fontId="8" fillId="13" borderId="3" xfId="0" quotePrefix="1" applyFont="1" applyFill="1" applyBorder="1" applyAlignment="1">
      <alignment horizontal="left" vertical="center"/>
    </xf>
    <xf numFmtId="3" fontId="6" fillId="14" borderId="3" xfId="0" applyNumberFormat="1" applyFont="1" applyFill="1" applyBorder="1" applyAlignment="1">
      <alignment horizontal="center"/>
    </xf>
    <xf numFmtId="3" fontId="6" fillId="13" borderId="3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6" fillId="18" borderId="3" xfId="0" applyNumberFormat="1" applyFont="1" applyFill="1" applyBorder="1" applyAlignment="1">
      <alignment horizontal="center"/>
    </xf>
    <xf numFmtId="49" fontId="22" fillId="0" borderId="8" xfId="9" applyNumberFormat="1" applyFont="1" applyBorder="1" applyAlignment="1">
      <alignment horizontal="left" vertical="center" wrapText="1"/>
    </xf>
    <xf numFmtId="3" fontId="6" fillId="15" borderId="4" xfId="0" applyNumberFormat="1" applyFont="1" applyFill="1" applyBorder="1" applyAlignment="1">
      <alignment horizontal="right"/>
    </xf>
    <xf numFmtId="0" fontId="33" fillId="0" borderId="0" xfId="10" applyFont="1" applyAlignment="1">
      <alignment horizontal="left" wrapText="1"/>
    </xf>
    <xf numFmtId="0" fontId="19" fillId="0" borderId="0" xfId="10" applyFont="1" applyAlignment="1">
      <alignment horizontal="left" wrapText="1"/>
    </xf>
    <xf numFmtId="0" fontId="35" fillId="0" borderId="0" xfId="11" applyAlignment="1">
      <alignment horizontal="left" vertical="top"/>
    </xf>
    <xf numFmtId="0" fontId="9" fillId="0" borderId="3" xfId="11" applyFont="1" applyBorder="1" applyAlignment="1">
      <alignment horizontal="left" vertical="top" wrapText="1" indent="1"/>
    </xf>
    <xf numFmtId="1" fontId="39" fillId="0" borderId="3" xfId="11" applyNumberFormat="1" applyFont="1" applyBorder="1" applyAlignment="1">
      <alignment horizontal="left" vertical="top" shrinkToFit="1"/>
    </xf>
    <xf numFmtId="1" fontId="25" fillId="0" borderId="3" xfId="11" applyNumberFormat="1" applyFont="1" applyBorder="1" applyAlignment="1">
      <alignment horizontal="left" vertical="top" shrinkToFit="1"/>
    </xf>
    <xf numFmtId="0" fontId="7" fillId="0" borderId="3" xfId="11" applyFont="1" applyBorder="1" applyAlignment="1">
      <alignment horizontal="left" vertical="top" wrapText="1" indent="1"/>
    </xf>
    <xf numFmtId="0" fontId="25" fillId="0" borderId="3" xfId="11" applyFont="1" applyBorder="1" applyAlignment="1">
      <alignment horizontal="left" vertical="top"/>
    </xf>
    <xf numFmtId="0" fontId="26" fillId="0" borderId="3" xfId="10" applyFont="1" applyBorder="1" applyAlignment="1">
      <alignment horizontal="left" vertical="top" wrapText="1" indent="1"/>
    </xf>
    <xf numFmtId="0" fontId="39" fillId="0" borderId="3" xfId="11" applyFont="1" applyBorder="1" applyAlignment="1">
      <alignment horizontal="left" vertical="top"/>
    </xf>
    <xf numFmtId="0" fontId="38" fillId="0" borderId="3" xfId="11" applyFont="1" applyBorder="1" applyAlignment="1">
      <alignment horizontal="left" vertical="top" wrapText="1"/>
    </xf>
    <xf numFmtId="0" fontId="38" fillId="2" borderId="3" xfId="11" applyFont="1" applyFill="1" applyBorder="1" applyAlignment="1">
      <alignment horizontal="left" vertical="top" wrapText="1" indent="1"/>
    </xf>
    <xf numFmtId="0" fontId="35" fillId="0" borderId="3" xfId="11" applyBorder="1" applyAlignment="1">
      <alignment horizontal="left" vertical="top"/>
    </xf>
    <xf numFmtId="0" fontId="9" fillId="2" borderId="3" xfId="11" applyFont="1" applyFill="1" applyBorder="1" applyAlignment="1">
      <alignment horizontal="left" vertical="top" wrapText="1" indent="1"/>
    </xf>
    <xf numFmtId="0" fontId="9" fillId="2" borderId="3" xfId="11" applyFont="1" applyFill="1" applyBorder="1" applyAlignment="1">
      <alignment horizontal="left" vertical="top" wrapText="1"/>
    </xf>
    <xf numFmtId="1" fontId="39" fillId="2" borderId="3" xfId="11" applyNumberFormat="1" applyFont="1" applyFill="1" applyBorder="1" applyAlignment="1">
      <alignment horizontal="left" vertical="top" shrinkToFit="1"/>
    </xf>
    <xf numFmtId="1" fontId="25" fillId="2" borderId="3" xfId="11" applyNumberFormat="1" applyFont="1" applyFill="1" applyBorder="1" applyAlignment="1">
      <alignment horizontal="left" vertical="top" shrinkToFit="1"/>
    </xf>
    <xf numFmtId="0" fontId="37" fillId="18" borderId="3" xfId="11" applyFont="1" applyFill="1" applyBorder="1" applyAlignment="1">
      <alignment horizontal="left" vertical="top" wrapText="1"/>
    </xf>
    <xf numFmtId="0" fontId="9" fillId="18" borderId="3" xfId="11" applyFont="1" applyFill="1" applyBorder="1" applyAlignment="1">
      <alignment horizontal="left" vertical="top" wrapText="1" indent="1"/>
    </xf>
    <xf numFmtId="3" fontId="35" fillId="0" borderId="0" xfId="11" applyNumberFormat="1" applyAlignment="1">
      <alignment horizontal="left" vertical="top"/>
    </xf>
    <xf numFmtId="3" fontId="39" fillId="18" borderId="3" xfId="11" applyNumberFormat="1" applyFont="1" applyFill="1" applyBorder="1" applyAlignment="1">
      <alignment horizontal="right" vertical="top" shrinkToFit="1"/>
    </xf>
    <xf numFmtId="3" fontId="39" fillId="2" borderId="3" xfId="11" applyNumberFormat="1" applyFont="1" applyFill="1" applyBorder="1" applyAlignment="1">
      <alignment horizontal="right" vertical="top" shrinkToFit="1"/>
    </xf>
    <xf numFmtId="3" fontId="25" fillId="2" borderId="3" xfId="11" applyNumberFormat="1" applyFont="1" applyFill="1" applyBorder="1" applyAlignment="1">
      <alignment horizontal="right" vertical="top" shrinkToFit="1"/>
    </xf>
    <xf numFmtId="3" fontId="39" fillId="0" borderId="3" xfId="11" applyNumberFormat="1" applyFont="1" applyBorder="1" applyAlignment="1">
      <alignment horizontal="right" vertical="top" shrinkToFit="1"/>
    </xf>
    <xf numFmtId="3" fontId="25" fillId="0" borderId="3" xfId="11" applyNumberFormat="1" applyFont="1" applyBorder="1" applyAlignment="1">
      <alignment horizontal="right" vertical="top" shrinkToFit="1"/>
    </xf>
    <xf numFmtId="3" fontId="40" fillId="0" borderId="3" xfId="11" applyNumberFormat="1" applyFont="1" applyBorder="1" applyAlignment="1">
      <alignment horizontal="right" vertical="top"/>
    </xf>
    <xf numFmtId="3" fontId="35" fillId="0" borderId="3" xfId="11" applyNumberFormat="1" applyBorder="1" applyAlignment="1">
      <alignment horizontal="right" vertical="top"/>
    </xf>
    <xf numFmtId="3" fontId="25" fillId="0" borderId="3" xfId="11" applyNumberFormat="1" applyFont="1" applyBorder="1" applyAlignment="1">
      <alignment horizontal="right" vertical="top"/>
    </xf>
    <xf numFmtId="0" fontId="6" fillId="4" borderId="1" xfId="0" applyFont="1" applyFill="1" applyBorder="1" applyAlignment="1">
      <alignment vertical="center" wrapText="1"/>
    </xf>
    <xf numFmtId="0" fontId="24" fillId="18" borderId="3" xfId="11" applyFont="1" applyFill="1" applyBorder="1" applyAlignment="1">
      <alignment horizontal="left" vertical="top" wrapText="1" indent="1"/>
    </xf>
    <xf numFmtId="0" fontId="42" fillId="24" borderId="3" xfId="11" applyFont="1" applyFill="1" applyBorder="1" applyAlignment="1">
      <alignment horizontal="left" vertical="top" wrapText="1"/>
    </xf>
    <xf numFmtId="0" fontId="42" fillId="24" borderId="3" xfId="11" applyFont="1" applyFill="1" applyBorder="1" applyAlignment="1">
      <alignment horizontal="left" vertical="top" wrapText="1" indent="1"/>
    </xf>
    <xf numFmtId="3" fontId="41" fillId="24" borderId="3" xfId="11" applyNumberFormat="1" applyFont="1" applyFill="1" applyBorder="1" applyAlignment="1">
      <alignment horizontal="right" vertical="top" shrinkToFit="1"/>
    </xf>
    <xf numFmtId="1" fontId="41" fillId="0" borderId="3" xfId="11" applyNumberFormat="1" applyFont="1" applyBorder="1" applyAlignment="1">
      <alignment horizontal="left" vertical="top" shrinkToFit="1"/>
    </xf>
    <xf numFmtId="0" fontId="42" fillId="0" borderId="3" xfId="11" applyFont="1" applyBorder="1" applyAlignment="1">
      <alignment horizontal="left" vertical="top" wrapText="1" indent="1"/>
    </xf>
    <xf numFmtId="3" fontId="41" fillId="0" borderId="3" xfId="11" applyNumberFormat="1" applyFont="1" applyBorder="1" applyAlignment="1">
      <alignment horizontal="right" vertical="top" shrinkToFit="1"/>
    </xf>
    <xf numFmtId="1" fontId="43" fillId="0" borderId="3" xfId="11" applyNumberFormat="1" applyFont="1" applyBorder="1" applyAlignment="1">
      <alignment horizontal="left" vertical="top" shrinkToFit="1"/>
    </xf>
    <xf numFmtId="0" fontId="44" fillId="0" borderId="3" xfId="11" applyFont="1" applyBorder="1" applyAlignment="1">
      <alignment horizontal="left" vertical="top" wrapText="1" indent="1"/>
    </xf>
    <xf numFmtId="3" fontId="43" fillId="0" borderId="3" xfId="11" applyNumberFormat="1" applyFont="1" applyBorder="1" applyAlignment="1">
      <alignment horizontal="right" vertical="top" shrinkToFit="1"/>
    </xf>
    <xf numFmtId="0" fontId="42" fillId="13" borderId="3" xfId="11" applyFont="1" applyFill="1" applyBorder="1" applyAlignment="1">
      <alignment horizontal="left" vertical="top" wrapText="1"/>
    </xf>
    <xf numFmtId="0" fontId="42" fillId="13" borderId="3" xfId="11" applyFont="1" applyFill="1" applyBorder="1" applyAlignment="1">
      <alignment horizontal="left" vertical="top" wrapText="1" indent="1"/>
    </xf>
    <xf numFmtId="3" fontId="41" fillId="13" borderId="3" xfId="11" applyNumberFormat="1" applyFont="1" applyFill="1" applyBorder="1" applyAlignment="1">
      <alignment horizontal="right" vertical="top" shrinkToFit="1"/>
    </xf>
    <xf numFmtId="0" fontId="42" fillId="15" borderId="3" xfId="11" applyFont="1" applyFill="1" applyBorder="1" applyAlignment="1">
      <alignment horizontal="left" vertical="top" wrapText="1"/>
    </xf>
    <xf numFmtId="0" fontId="42" fillId="15" borderId="3" xfId="11" applyFont="1" applyFill="1" applyBorder="1" applyAlignment="1">
      <alignment horizontal="left" vertical="top" wrapText="1" indent="1"/>
    </xf>
    <xf numFmtId="3" fontId="41" fillId="15" borderId="3" xfId="11" applyNumberFormat="1" applyFont="1" applyFill="1" applyBorder="1" applyAlignment="1">
      <alignment horizontal="right" vertical="top" shrinkToFit="1"/>
    </xf>
    <xf numFmtId="0" fontId="42" fillId="25" borderId="3" xfId="11" applyFont="1" applyFill="1" applyBorder="1" applyAlignment="1">
      <alignment horizontal="left" vertical="top" wrapText="1"/>
    </xf>
    <xf numFmtId="0" fontId="42" fillId="25" borderId="3" xfId="11" applyFont="1" applyFill="1" applyBorder="1" applyAlignment="1">
      <alignment horizontal="left" vertical="top" wrapText="1" indent="1"/>
    </xf>
    <xf numFmtId="3" fontId="41" fillId="25" borderId="3" xfId="11" applyNumberFormat="1" applyFont="1" applyFill="1" applyBorder="1" applyAlignment="1">
      <alignment horizontal="right" vertical="top" shrinkToFit="1"/>
    </xf>
    <xf numFmtId="0" fontId="43" fillId="0" borderId="3" xfId="11" applyFont="1" applyBorder="1" applyAlignment="1">
      <alignment horizontal="left" vertical="top"/>
    </xf>
    <xf numFmtId="0" fontId="44" fillId="0" borderId="3" xfId="10" applyFont="1" applyBorder="1" applyAlignment="1">
      <alignment horizontal="left" vertical="top" wrapText="1" indent="1"/>
    </xf>
    <xf numFmtId="3" fontId="43" fillId="0" borderId="3" xfId="10" applyNumberFormat="1" applyFont="1" applyBorder="1" applyAlignment="1">
      <alignment vertical="top" shrinkToFit="1"/>
    </xf>
    <xf numFmtId="0" fontId="43" fillId="0" borderId="3" xfId="11" applyFont="1" applyBorder="1" applyAlignment="1">
      <alignment vertical="top" wrapText="1"/>
    </xf>
    <xf numFmtId="3" fontId="43" fillId="0" borderId="3" xfId="11" applyNumberFormat="1" applyFont="1" applyBorder="1" applyAlignment="1">
      <alignment vertical="top"/>
    </xf>
    <xf numFmtId="0" fontId="43" fillId="0" borderId="3" xfId="11" applyFont="1" applyBorder="1" applyAlignment="1">
      <alignment vertical="top"/>
    </xf>
    <xf numFmtId="0" fontId="42" fillId="9" borderId="3" xfId="11" applyFont="1" applyFill="1" applyBorder="1" applyAlignment="1">
      <alignment horizontal="left" vertical="top" wrapText="1"/>
    </xf>
    <xf numFmtId="0" fontId="42" fillId="9" borderId="3" xfId="11" applyFont="1" applyFill="1" applyBorder="1" applyAlignment="1">
      <alignment horizontal="left" vertical="top" wrapText="1" indent="1"/>
    </xf>
    <xf numFmtId="3" fontId="41" fillId="9" borderId="3" xfId="11" applyNumberFormat="1" applyFont="1" applyFill="1" applyBorder="1" applyAlignment="1">
      <alignment horizontal="right" vertical="top" shrinkToFit="1"/>
    </xf>
    <xf numFmtId="0" fontId="41" fillId="0" borderId="3" xfId="11" applyFont="1" applyBorder="1" applyAlignment="1">
      <alignment horizontal="left" vertical="top"/>
    </xf>
    <xf numFmtId="0" fontId="42" fillId="26" borderId="3" xfId="11" applyFont="1" applyFill="1" applyBorder="1" applyAlignment="1">
      <alignment horizontal="left" vertical="top" wrapText="1"/>
    </xf>
    <xf numFmtId="0" fontId="42" fillId="26" borderId="3" xfId="11" applyFont="1" applyFill="1" applyBorder="1" applyAlignment="1">
      <alignment horizontal="left" vertical="top" wrapText="1" indent="1"/>
    </xf>
    <xf numFmtId="3" fontId="41" fillId="26" borderId="3" xfId="11" applyNumberFormat="1" applyFont="1" applyFill="1" applyBorder="1" applyAlignment="1">
      <alignment vertical="top" shrinkToFit="1"/>
    </xf>
    <xf numFmtId="3" fontId="46" fillId="0" borderId="3" xfId="11" applyNumberFormat="1" applyFont="1" applyBorder="1" applyAlignment="1">
      <alignment horizontal="left" vertical="top"/>
    </xf>
    <xf numFmtId="0" fontId="7" fillId="2" borderId="3" xfId="11" applyFont="1" applyFill="1" applyBorder="1" applyAlignment="1">
      <alignment horizontal="center" vertical="top" wrapText="1"/>
    </xf>
    <xf numFmtId="0" fontId="9" fillId="2" borderId="3" xfId="11" applyFont="1" applyFill="1" applyBorder="1" applyAlignment="1">
      <alignment horizontal="center" vertical="top" wrapText="1"/>
    </xf>
    <xf numFmtId="3" fontId="44" fillId="0" borderId="3" xfId="11" applyNumberFormat="1" applyFont="1" applyBorder="1" applyAlignment="1">
      <alignment horizontal="center" vertical="top" wrapText="1"/>
    </xf>
    <xf numFmtId="3" fontId="44" fillId="15" borderId="3" xfId="11" applyNumberFormat="1" applyFont="1" applyFill="1" applyBorder="1" applyAlignment="1">
      <alignment horizontal="center" vertical="top" wrapText="1"/>
    </xf>
    <xf numFmtId="3" fontId="44" fillId="9" borderId="3" xfId="11" applyNumberFormat="1" applyFont="1" applyFill="1" applyBorder="1" applyAlignment="1">
      <alignment horizontal="center" vertical="top" wrapText="1"/>
    </xf>
    <xf numFmtId="3" fontId="42" fillId="0" borderId="3" xfId="11" applyNumberFormat="1" applyFont="1" applyBorder="1" applyAlignment="1">
      <alignment horizontal="center" vertical="top" wrapText="1"/>
    </xf>
    <xf numFmtId="3" fontId="6" fillId="13" borderId="4" xfId="0" applyNumberFormat="1" applyFont="1" applyFill="1" applyBorder="1" applyAlignment="1">
      <alignment horizontal="right"/>
    </xf>
    <xf numFmtId="3" fontId="6" fillId="14" borderId="4" xfId="0" applyNumberFormat="1" applyFont="1" applyFill="1" applyBorder="1" applyAlignment="1">
      <alignment horizontal="right"/>
    </xf>
    <xf numFmtId="3" fontId="47" fillId="14" borderId="4" xfId="0" applyNumberFormat="1" applyFont="1" applyFill="1" applyBorder="1" applyAlignment="1">
      <alignment horizontal="right"/>
    </xf>
    <xf numFmtId="0" fontId="9" fillId="27" borderId="3" xfId="0" applyFont="1" applyFill="1" applyBorder="1" applyAlignment="1">
      <alignment horizontal="left" vertical="center" wrapText="1"/>
    </xf>
    <xf numFmtId="49" fontId="27" fillId="27" borderId="7" xfId="1" applyNumberFormat="1" applyFont="1" applyFill="1" applyBorder="1" applyAlignment="1">
      <alignment horizontal="left" vertical="center" wrapText="1"/>
    </xf>
    <xf numFmtId="3" fontId="3" fillId="27" borderId="4" xfId="0" applyNumberFormat="1" applyFont="1" applyFill="1" applyBorder="1" applyAlignment="1">
      <alignment horizontal="right"/>
    </xf>
    <xf numFmtId="3" fontId="3" fillId="27" borderId="3" xfId="0" applyNumberFormat="1" applyFont="1" applyFill="1" applyBorder="1" applyAlignment="1">
      <alignment horizontal="right"/>
    </xf>
    <xf numFmtId="3" fontId="39" fillId="18" borderId="3" xfId="11" applyNumberFormat="1" applyFont="1" applyFill="1" applyBorder="1" applyAlignment="1">
      <alignment horizontal="right" shrinkToFit="1"/>
    </xf>
    <xf numFmtId="3" fontId="39" fillId="18" borderId="3" xfId="11" applyNumberFormat="1" applyFont="1" applyFill="1" applyBorder="1" applyAlignment="1">
      <alignment shrinkToFit="1"/>
    </xf>
    <xf numFmtId="3" fontId="42" fillId="24" borderId="3" xfId="11" applyNumberFormat="1" applyFont="1" applyFill="1" applyBorder="1" applyAlignment="1">
      <alignment horizontal="center" vertical="top" wrapText="1"/>
    </xf>
    <xf numFmtId="3" fontId="42" fillId="14" borderId="3" xfId="11" applyNumberFormat="1" applyFont="1" applyFill="1" applyBorder="1" applyAlignment="1">
      <alignment horizontal="center" vertical="top" wrapText="1"/>
    </xf>
    <xf numFmtId="3" fontId="42" fillId="4" borderId="3" xfId="11" applyNumberFormat="1" applyFont="1" applyFill="1" applyBorder="1" applyAlignment="1">
      <alignment horizontal="center" vertical="top" wrapText="1"/>
    </xf>
    <xf numFmtId="3" fontId="9" fillId="4" borderId="3" xfId="11" applyNumberFormat="1" applyFont="1" applyFill="1" applyBorder="1" applyAlignment="1">
      <alignment horizontal="center" wrapText="1"/>
    </xf>
    <xf numFmtId="3" fontId="42" fillId="16" borderId="3" xfId="11" applyNumberFormat="1" applyFont="1" applyFill="1" applyBorder="1" applyAlignment="1">
      <alignment horizontal="center" vertical="top" wrapText="1"/>
    </xf>
    <xf numFmtId="3" fontId="42" fillId="9" borderId="3" xfId="11" applyNumberFormat="1" applyFont="1" applyFill="1" applyBorder="1" applyAlignment="1">
      <alignment horizontal="center" vertical="top" wrapText="1"/>
    </xf>
    <xf numFmtId="3" fontId="42" fillId="13" borderId="3" xfId="11" applyNumberFormat="1" applyFont="1" applyFill="1" applyBorder="1" applyAlignment="1">
      <alignment horizontal="center" vertical="top" wrapText="1"/>
    </xf>
    <xf numFmtId="3" fontId="48" fillId="18" borderId="3" xfId="11" applyNumberFormat="1" applyFont="1" applyFill="1" applyBorder="1" applyAlignment="1">
      <alignment horizont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49" fillId="2" borderId="3" xfId="0" applyNumberFormat="1" applyFont="1" applyFill="1" applyBorder="1" applyAlignment="1">
      <alignment horizontal="right"/>
    </xf>
    <xf numFmtId="3" fontId="3" fillId="18" borderId="3" xfId="0" applyNumberFormat="1" applyFont="1" applyFill="1" applyBorder="1" applyAlignment="1">
      <alignment horizontal="center" wrapText="1"/>
    </xf>
    <xf numFmtId="3" fontId="3" fillId="13" borderId="3" xfId="0" applyNumberFormat="1" applyFont="1" applyFill="1" applyBorder="1" applyAlignment="1">
      <alignment horizontal="center" wrapText="1"/>
    </xf>
    <xf numFmtId="3" fontId="3" fillId="16" borderId="3" xfId="0" applyNumberFormat="1" applyFont="1" applyFill="1" applyBorder="1" applyAlignment="1">
      <alignment horizontal="center" wrapText="1"/>
    </xf>
    <xf numFmtId="3" fontId="6" fillId="9" borderId="4" xfId="0" applyNumberFormat="1" applyFont="1" applyFill="1" applyBorder="1" applyAlignment="1">
      <alignment horizontal="right"/>
    </xf>
    <xf numFmtId="3" fontId="6" fillId="9" borderId="3" xfId="0" applyNumberFormat="1" applyFont="1" applyFill="1" applyBorder="1" applyAlignment="1">
      <alignment horizontal="center"/>
    </xf>
    <xf numFmtId="3" fontId="6" fillId="9" borderId="3" xfId="0" applyNumberFormat="1" applyFont="1" applyFill="1" applyBorder="1"/>
    <xf numFmtId="3" fontId="6" fillId="9" borderId="3" xfId="0" applyNumberFormat="1" applyFont="1" applyFill="1" applyBorder="1" applyAlignment="1">
      <alignment horizontal="right"/>
    </xf>
    <xf numFmtId="3" fontId="6" fillId="9" borderId="3" xfId="0" applyNumberFormat="1" applyFont="1" applyFill="1" applyBorder="1" applyAlignment="1">
      <alignment horizontal="right" wrapText="1"/>
    </xf>
    <xf numFmtId="3" fontId="50" fillId="5" borderId="6" xfId="0" applyNumberFormat="1" applyFont="1" applyFill="1" applyBorder="1" applyAlignment="1">
      <alignment vertical="center" wrapText="1"/>
    </xf>
    <xf numFmtId="3" fontId="43" fillId="14" borderId="3" xfId="11" applyNumberFormat="1" applyFont="1" applyFill="1" applyBorder="1" applyAlignment="1">
      <alignment horizontal="right" vertical="top" shrinkToFit="1"/>
    </xf>
    <xf numFmtId="3" fontId="6" fillId="0" borderId="3" xfId="0" applyNumberFormat="1" applyFont="1" applyBorder="1" applyAlignment="1">
      <alignment horizontal="center" vertical="center" wrapText="1"/>
    </xf>
    <xf numFmtId="3" fontId="49" fillId="2" borderId="3" xfId="0" applyNumberFormat="1" applyFont="1" applyFill="1" applyBorder="1" applyAlignment="1">
      <alignment horizontal="center"/>
    </xf>
    <xf numFmtId="3" fontId="46" fillId="0" borderId="3" xfId="11" applyNumberFormat="1" applyFont="1" applyBorder="1" applyAlignment="1">
      <alignment horizontal="right" vertical="top"/>
    </xf>
    <xf numFmtId="0" fontId="26" fillId="2" borderId="3" xfId="11" applyFont="1" applyFill="1" applyBorder="1" applyAlignment="1">
      <alignment horizontal="left" vertical="top" wrapText="1" indent="1"/>
    </xf>
    <xf numFmtId="0" fontId="45" fillId="0" borderId="3" xfId="11" applyFont="1" applyBorder="1" applyAlignment="1">
      <alignment horizontal="left" vertical="top" wrapText="1" indent="1"/>
    </xf>
    <xf numFmtId="0" fontId="37" fillId="24" borderId="3" xfId="11" applyFont="1" applyFill="1" applyBorder="1" applyAlignment="1">
      <alignment horizontal="left" vertical="top" wrapText="1" indent="1"/>
    </xf>
    <xf numFmtId="0" fontId="0" fillId="0" borderId="3" xfId="0" applyBorder="1"/>
    <xf numFmtId="3" fontId="49" fillId="2" borderId="4" xfId="0" applyNumberFormat="1" applyFont="1" applyFill="1" applyBorder="1" applyAlignment="1">
      <alignment horizontal="right"/>
    </xf>
    <xf numFmtId="3" fontId="49" fillId="2" borderId="3" xfId="0" applyNumberFormat="1" applyFont="1" applyFill="1" applyBorder="1" applyAlignment="1">
      <alignment horizontal="right" wrapText="1"/>
    </xf>
    <xf numFmtId="3" fontId="49" fillId="2" borderId="3" xfId="0" applyNumberFormat="1" applyFont="1" applyFill="1" applyBorder="1"/>
    <xf numFmtId="3" fontId="6" fillId="4" borderId="3" xfId="0" applyNumberFormat="1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3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3" fillId="0" borderId="0" xfId="10" applyFont="1" applyAlignment="1">
      <alignment horizontal="left" wrapText="1"/>
    </xf>
    <xf numFmtId="0" fontId="19" fillId="0" borderId="0" xfId="10" applyFont="1" applyAlignment="1">
      <alignment horizontal="left" wrapText="1"/>
    </xf>
    <xf numFmtId="3" fontId="36" fillId="12" borderId="9" xfId="10" applyNumberFormat="1" applyFont="1" applyFill="1" applyBorder="1" applyAlignment="1">
      <alignment horizontal="center" vertical="center" wrapText="1"/>
    </xf>
    <xf numFmtId="3" fontId="36" fillId="12" borderId="5" xfId="1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3">
    <cellStyle name="Hyperlink 2" xfId="3" xr:uid="{24FA7A30-AFB4-4032-9B54-93FD358F8892}"/>
    <cellStyle name="Hyperlink 3" xfId="4" xr:uid="{126FB225-B7F0-4E91-B762-F99B35D86773}"/>
    <cellStyle name="Normal 2" xfId="5" xr:uid="{50E584A7-8965-4EF0-BA09-2C561F542D7F}"/>
    <cellStyle name="Normal 3" xfId="6" xr:uid="{218704E8-B1C4-48F2-9482-BEC59B46EB7D}"/>
    <cellStyle name="Normal_Sheet1" xfId="7" xr:uid="{465F3F9C-6540-451F-8D06-37F3595AB560}"/>
    <cellStyle name="Normalno" xfId="0" builtinId="0"/>
    <cellStyle name="Normalno 2" xfId="1" xr:uid="{A9C89A24-5FAE-4BF2-AD03-5239386B1B72}"/>
    <cellStyle name="Normalno 2 2" xfId="12" xr:uid="{C59A35A4-B95C-4252-848B-ECF924542656}"/>
    <cellStyle name="Normalno 3" xfId="10" xr:uid="{A8FDB4A1-8ABE-46CD-9A18-4F522F852176}"/>
    <cellStyle name="Normalno 4" xfId="9" xr:uid="{A21C9B1C-EC8A-458E-A93B-06472D98C7DB}"/>
    <cellStyle name="Normalno 7" xfId="11" xr:uid="{FD0C68AB-4191-41B5-918F-F5A34A27CE97}"/>
    <cellStyle name="Obično_GFI-POD ver. 1.0.5" xfId="8" xr:uid="{13920892-D617-4BD1-8BBC-57ABD56BD0F9}"/>
    <cellStyle name="Zarez 2" xfId="2" xr:uid="{FAA5E688-0870-434D-A5B1-D33A30126258}"/>
  </cellStyles>
  <dxfs count="0"/>
  <tableStyles count="0" defaultTableStyle="TableStyleMedium2" defaultPivotStyle="PivotStyleLight16"/>
  <colors>
    <mruColors>
      <color rgb="FFFFFFCC"/>
      <color rgb="FFCCCC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18</xdr:row>
      <xdr:rowOff>76753</xdr:rowOff>
    </xdr:from>
    <xdr:ext cx="45719" cy="419126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C78FF0D0-5514-486F-8E56-DBEF1D2FF512}"/>
            </a:ext>
          </a:extLst>
        </xdr:cNvPr>
        <xdr:cNvSpPr/>
      </xdr:nvSpPr>
      <xdr:spPr>
        <a:xfrm rot="5400000">
          <a:off x="10553527" y="6616748"/>
          <a:ext cx="4191260" cy="45719"/>
        </a:xfrm>
        <a:custGeom>
          <a:avLst/>
          <a:gdLst/>
          <a:ahLst/>
          <a:cxnLst/>
          <a:rect l="0" t="0" r="0" b="0"/>
          <a:pathLst>
            <a:path w="9540240">
              <a:moveTo>
                <a:pt x="0" y="0"/>
              </a:moveTo>
              <a:lnTo>
                <a:pt x="1170012" y="0"/>
              </a:lnTo>
            </a:path>
            <a:path w="9540240">
              <a:moveTo>
                <a:pt x="1170012" y="0"/>
              </a:moveTo>
              <a:lnTo>
                <a:pt x="5490006" y="0"/>
              </a:lnTo>
            </a:path>
            <a:path w="9540240">
              <a:moveTo>
                <a:pt x="5490006" y="0"/>
              </a:moveTo>
              <a:lnTo>
                <a:pt x="6570002" y="0"/>
              </a:lnTo>
            </a:path>
            <a:path w="9540240">
              <a:moveTo>
                <a:pt x="6570002" y="0"/>
              </a:moveTo>
              <a:lnTo>
                <a:pt x="7650010" y="0"/>
              </a:lnTo>
            </a:path>
            <a:path w="9540240">
              <a:moveTo>
                <a:pt x="7650010" y="0"/>
              </a:moveTo>
              <a:lnTo>
                <a:pt x="8460003" y="0"/>
              </a:lnTo>
            </a:path>
            <a:path w="9540240">
              <a:moveTo>
                <a:pt x="8460003" y="0"/>
              </a:moveTo>
              <a:lnTo>
                <a:pt x="9540011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36</xdr:row>
      <xdr:rowOff>149088</xdr:rowOff>
    </xdr:from>
    <xdr:ext cx="0" cy="2940324"/>
    <xdr:sp macro="" textlink="">
      <xdr:nvSpPr>
        <xdr:cNvPr id="3" name="Shape 11">
          <a:extLst>
            <a:ext uri="{FF2B5EF4-FFF2-40B4-BE49-F238E27FC236}">
              <a16:creationId xmlns:a16="http://schemas.microsoft.com/office/drawing/2014/main" id="{E5671BA8-E9AC-4FF9-8A3D-8C99D73EEF1F}"/>
            </a:ext>
          </a:extLst>
        </xdr:cNvPr>
        <xdr:cNvSpPr/>
      </xdr:nvSpPr>
      <xdr:spPr>
        <a:xfrm flipH="1">
          <a:off x="0" y="6492738"/>
          <a:ext cx="0" cy="2940324"/>
        </a:xfrm>
        <a:custGeom>
          <a:avLst/>
          <a:gdLst/>
          <a:ahLst/>
          <a:cxnLst/>
          <a:rect l="0" t="0" r="0" b="0"/>
          <a:pathLst>
            <a:path w="9540240">
              <a:moveTo>
                <a:pt x="0" y="0"/>
              </a:moveTo>
              <a:lnTo>
                <a:pt x="1170012" y="0"/>
              </a:lnTo>
            </a:path>
            <a:path w="9540240">
              <a:moveTo>
                <a:pt x="1170012" y="0"/>
              </a:moveTo>
              <a:lnTo>
                <a:pt x="5490006" y="0"/>
              </a:lnTo>
            </a:path>
            <a:path w="9540240">
              <a:moveTo>
                <a:pt x="5490006" y="0"/>
              </a:moveTo>
              <a:lnTo>
                <a:pt x="6570002" y="0"/>
              </a:lnTo>
            </a:path>
            <a:path w="9540240">
              <a:moveTo>
                <a:pt x="6570002" y="0"/>
              </a:moveTo>
              <a:lnTo>
                <a:pt x="7650010" y="0"/>
              </a:lnTo>
            </a:path>
            <a:path w="9540240">
              <a:moveTo>
                <a:pt x="7650010" y="0"/>
              </a:moveTo>
              <a:lnTo>
                <a:pt x="8460003" y="0"/>
              </a:lnTo>
            </a:path>
            <a:path w="9540240">
              <a:moveTo>
                <a:pt x="8460003" y="0"/>
              </a:moveTo>
              <a:lnTo>
                <a:pt x="9540011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zoomScaleNormal="100" workbookViewId="0">
      <selection activeCell="F12" sqref="F12"/>
    </sheetView>
  </sheetViews>
  <sheetFormatPr defaultRowHeight="15" x14ac:dyDescent="0.25"/>
  <cols>
    <col min="5" max="10" width="25.28515625" customWidth="1"/>
  </cols>
  <sheetData>
    <row r="1" spans="1:10" ht="47.25" customHeight="1" x14ac:dyDescent="0.25">
      <c r="A1" s="268" t="s">
        <v>131</v>
      </c>
      <c r="B1" s="269"/>
      <c r="C1" s="269"/>
      <c r="D1" s="269"/>
    </row>
    <row r="2" spans="1:10" hidden="1" x14ac:dyDescent="0.25"/>
    <row r="3" spans="1:10" hidden="1" x14ac:dyDescent="0.25"/>
    <row r="4" spans="1:10" ht="42" customHeight="1" x14ac:dyDescent="0.25">
      <c r="A4" s="257" t="s">
        <v>30</v>
      </c>
      <c r="B4" s="257"/>
      <c r="C4" s="257"/>
      <c r="D4" s="257"/>
      <c r="E4" s="257"/>
      <c r="F4" s="257"/>
      <c r="G4" s="257"/>
      <c r="H4" s="257"/>
      <c r="I4" s="257"/>
      <c r="J4" s="257"/>
    </row>
    <row r="5" spans="1:10" ht="8.2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5.75" x14ac:dyDescent="0.25">
      <c r="A6" s="257" t="s">
        <v>17</v>
      </c>
      <c r="B6" s="257"/>
      <c r="C6" s="257"/>
      <c r="D6" s="257"/>
      <c r="E6" s="257"/>
      <c r="F6" s="257"/>
      <c r="G6" s="257"/>
      <c r="H6" s="257"/>
      <c r="I6" s="272"/>
      <c r="J6" s="272"/>
    </row>
    <row r="7" spans="1:10" ht="18" x14ac:dyDescent="0.25">
      <c r="A7" s="4"/>
      <c r="B7" s="4"/>
      <c r="C7" s="4"/>
      <c r="D7" s="4"/>
      <c r="E7" s="4"/>
      <c r="F7" s="4"/>
      <c r="G7" s="4"/>
      <c r="H7" s="4"/>
      <c r="I7" s="5"/>
      <c r="J7" s="5"/>
    </row>
    <row r="8" spans="1:10" ht="15.75" x14ac:dyDescent="0.25">
      <c r="A8" s="257" t="s">
        <v>23</v>
      </c>
      <c r="B8" s="258"/>
      <c r="C8" s="258"/>
      <c r="D8" s="258"/>
      <c r="E8" s="258"/>
      <c r="F8" s="258"/>
      <c r="G8" s="258"/>
      <c r="H8" s="258"/>
      <c r="I8" s="258"/>
      <c r="J8" s="258"/>
    </row>
    <row r="9" spans="1:10" ht="18" x14ac:dyDescent="0.25">
      <c r="A9" s="1"/>
      <c r="B9" s="2"/>
      <c r="C9" s="2"/>
      <c r="D9" s="2"/>
      <c r="E9" s="6"/>
      <c r="F9" s="7"/>
      <c r="G9" s="7"/>
      <c r="H9" s="7"/>
      <c r="I9" s="7"/>
      <c r="J9" s="32" t="s">
        <v>35</v>
      </c>
    </row>
    <row r="10" spans="1:10" ht="25.5" x14ac:dyDescent="0.25">
      <c r="A10" s="25"/>
      <c r="B10" s="26"/>
      <c r="C10" s="26"/>
      <c r="D10" s="27"/>
      <c r="E10" s="28"/>
      <c r="F10" s="3" t="s">
        <v>36</v>
      </c>
      <c r="G10" s="3" t="s">
        <v>34</v>
      </c>
      <c r="H10" s="3" t="s">
        <v>44</v>
      </c>
      <c r="I10" s="3" t="s">
        <v>45</v>
      </c>
      <c r="J10" s="3" t="s">
        <v>46</v>
      </c>
    </row>
    <row r="11" spans="1:10" x14ac:dyDescent="0.25">
      <c r="A11" s="262" t="s">
        <v>0</v>
      </c>
      <c r="B11" s="256"/>
      <c r="C11" s="256"/>
      <c r="D11" s="256"/>
      <c r="E11" s="273"/>
      <c r="F11" s="29">
        <f>F12+F13</f>
        <v>1434239.4093835026</v>
      </c>
      <c r="G11" s="29">
        <f t="shared" ref="G11:J11" si="0">G12+G13</f>
        <v>1807530</v>
      </c>
      <c r="H11" s="29">
        <f t="shared" si="0"/>
        <v>1692986</v>
      </c>
      <c r="I11" s="29">
        <f t="shared" si="0"/>
        <v>1692986</v>
      </c>
      <c r="J11" s="29">
        <f t="shared" si="0"/>
        <v>1692986</v>
      </c>
    </row>
    <row r="12" spans="1:10" ht="15.75" x14ac:dyDescent="0.25">
      <c r="A12" s="274" t="s">
        <v>38</v>
      </c>
      <c r="B12" s="275"/>
      <c r="C12" s="275"/>
      <c r="D12" s="275"/>
      <c r="E12" s="271"/>
      <c r="F12" s="129">
        <f>10805635.83/7.5345</f>
        <v>1434154.3340633088</v>
      </c>
      <c r="G12" s="239">
        <v>1807450</v>
      </c>
      <c r="H12" s="30">
        <v>1692906</v>
      </c>
      <c r="I12" s="30">
        <v>1692906</v>
      </c>
      <c r="J12" s="30">
        <v>1692906</v>
      </c>
    </row>
    <row r="13" spans="1:10" ht="15.75" x14ac:dyDescent="0.25">
      <c r="A13" s="270" t="s">
        <v>39</v>
      </c>
      <c r="B13" s="271"/>
      <c r="C13" s="271"/>
      <c r="D13" s="271"/>
      <c r="E13" s="271"/>
      <c r="F13" s="129">
        <f>641/7.5345</f>
        <v>85.075320193775298</v>
      </c>
      <c r="G13" s="239">
        <v>80</v>
      </c>
      <c r="H13" s="30">
        <v>80</v>
      </c>
      <c r="I13" s="30">
        <v>80</v>
      </c>
      <c r="J13" s="30">
        <v>80</v>
      </c>
    </row>
    <row r="14" spans="1:10" x14ac:dyDescent="0.25">
      <c r="A14" s="33" t="s">
        <v>1</v>
      </c>
      <c r="B14" s="40"/>
      <c r="C14" s="40"/>
      <c r="D14" s="40"/>
      <c r="E14" s="40"/>
      <c r="F14" s="29">
        <f>F15+F16</f>
        <v>1428876.1205123099</v>
      </c>
      <c r="G14" s="29">
        <f t="shared" ref="G14:J14" si="1">G15+G16</f>
        <v>1808129</v>
      </c>
      <c r="H14" s="29">
        <f t="shared" si="1"/>
        <v>1694843</v>
      </c>
      <c r="I14" s="29">
        <f t="shared" si="1"/>
        <v>1694843</v>
      </c>
      <c r="J14" s="29">
        <f t="shared" si="1"/>
        <v>1694843</v>
      </c>
    </row>
    <row r="15" spans="1:10" x14ac:dyDescent="0.25">
      <c r="A15" s="276" t="s">
        <v>40</v>
      </c>
      <c r="B15" s="275"/>
      <c r="C15" s="275"/>
      <c r="D15" s="275"/>
      <c r="E15" s="275"/>
      <c r="F15" s="30">
        <f>10195189/7.5345</f>
        <v>1353134.1163979028</v>
      </c>
      <c r="G15" s="30">
        <v>1703099</v>
      </c>
      <c r="H15" s="30">
        <v>1625767</v>
      </c>
      <c r="I15" s="30">
        <v>1625767</v>
      </c>
      <c r="J15" s="30">
        <v>1625767</v>
      </c>
    </row>
    <row r="16" spans="1:10" x14ac:dyDescent="0.25">
      <c r="A16" s="270" t="s">
        <v>41</v>
      </c>
      <c r="B16" s="271"/>
      <c r="C16" s="271"/>
      <c r="D16" s="271"/>
      <c r="E16" s="271"/>
      <c r="F16" s="30">
        <f>570678.13/7.5345</f>
        <v>75742.004114407056</v>
      </c>
      <c r="G16" s="30">
        <v>105030</v>
      </c>
      <c r="H16" s="30">
        <v>69076</v>
      </c>
      <c r="I16" s="30">
        <v>69076</v>
      </c>
      <c r="J16" s="30">
        <v>69076</v>
      </c>
    </row>
    <row r="17" spans="1:10" x14ac:dyDescent="0.25">
      <c r="A17" s="255" t="s">
        <v>64</v>
      </c>
      <c r="B17" s="256"/>
      <c r="C17" s="256"/>
      <c r="D17" s="256"/>
      <c r="E17" s="256"/>
      <c r="F17" s="29">
        <f>F11-F14</f>
        <v>5363.2888711926062</v>
      </c>
      <c r="G17" s="29">
        <f t="shared" ref="G17:J17" si="2">G11-G14</f>
        <v>-599</v>
      </c>
      <c r="H17" s="29">
        <f>H11-H14</f>
        <v>-1857</v>
      </c>
      <c r="I17" s="29">
        <f t="shared" si="2"/>
        <v>-1857</v>
      </c>
      <c r="J17" s="29">
        <f t="shared" si="2"/>
        <v>-1857</v>
      </c>
    </row>
    <row r="18" spans="1:10" ht="18" x14ac:dyDescent="0.25">
      <c r="A18" s="4"/>
      <c r="B18" s="21"/>
      <c r="C18" s="21"/>
      <c r="D18" s="21"/>
      <c r="E18" s="21"/>
      <c r="F18" s="21"/>
      <c r="G18" s="21"/>
      <c r="H18" s="22"/>
      <c r="I18" s="22"/>
      <c r="J18" s="22"/>
    </row>
    <row r="19" spans="1:10" ht="15.75" x14ac:dyDescent="0.25">
      <c r="A19" s="257" t="s">
        <v>24</v>
      </c>
      <c r="B19" s="258"/>
      <c r="C19" s="258"/>
      <c r="D19" s="258"/>
      <c r="E19" s="258"/>
      <c r="F19" s="258"/>
      <c r="G19" s="258"/>
      <c r="H19" s="258"/>
      <c r="I19" s="258"/>
      <c r="J19" s="258"/>
    </row>
    <row r="20" spans="1:10" ht="18" x14ac:dyDescent="0.25">
      <c r="A20" s="4"/>
      <c r="B20" s="21"/>
      <c r="C20" s="21"/>
      <c r="D20" s="21"/>
      <c r="E20" s="21"/>
      <c r="F20" s="21"/>
      <c r="G20" s="21"/>
      <c r="H20" s="22"/>
      <c r="I20" s="22"/>
      <c r="J20" s="22"/>
    </row>
    <row r="21" spans="1:10" ht="25.5" x14ac:dyDescent="0.25">
      <c r="A21" s="25"/>
      <c r="B21" s="26"/>
      <c r="C21" s="26"/>
      <c r="D21" s="27"/>
      <c r="E21" s="28"/>
      <c r="F21" s="3" t="s">
        <v>36</v>
      </c>
      <c r="G21" s="3" t="s">
        <v>34</v>
      </c>
      <c r="H21" s="3" t="s">
        <v>44</v>
      </c>
      <c r="I21" s="3" t="s">
        <v>45</v>
      </c>
      <c r="J21" s="3" t="s">
        <v>46</v>
      </c>
    </row>
    <row r="22" spans="1:10" x14ac:dyDescent="0.25">
      <c r="A22" s="270" t="s">
        <v>42</v>
      </c>
      <c r="B22" s="271"/>
      <c r="C22" s="271"/>
      <c r="D22" s="271"/>
      <c r="E22" s="271"/>
      <c r="F22" s="30">
        <f>26460/7.5345</f>
        <v>3511.845510651005</v>
      </c>
      <c r="G22" s="30"/>
      <c r="H22" s="30"/>
      <c r="I22" s="30"/>
      <c r="J22" s="41"/>
    </row>
    <row r="23" spans="1:10" x14ac:dyDescent="0.25">
      <c r="A23" s="270" t="s">
        <v>43</v>
      </c>
      <c r="B23" s="271"/>
      <c r="C23" s="271"/>
      <c r="D23" s="271"/>
      <c r="E23" s="271"/>
      <c r="F23" s="30"/>
      <c r="G23" s="30"/>
      <c r="H23" s="30"/>
      <c r="I23" s="30"/>
      <c r="J23" s="41"/>
    </row>
    <row r="24" spans="1:10" x14ac:dyDescent="0.25">
      <c r="A24" s="255" t="s">
        <v>2</v>
      </c>
      <c r="B24" s="256"/>
      <c r="C24" s="256"/>
      <c r="D24" s="256"/>
      <c r="E24" s="256"/>
      <c r="F24" s="29">
        <v>0</v>
      </c>
      <c r="G24" s="29">
        <f t="shared" ref="G24:J24" si="3">G22-G23</f>
        <v>0</v>
      </c>
      <c r="H24" s="29">
        <f t="shared" si="3"/>
        <v>0</v>
      </c>
      <c r="I24" s="29">
        <f t="shared" si="3"/>
        <v>0</v>
      </c>
      <c r="J24" s="29">
        <f t="shared" si="3"/>
        <v>0</v>
      </c>
    </row>
    <row r="25" spans="1:10" x14ac:dyDescent="0.25">
      <c r="A25" s="255" t="s">
        <v>65</v>
      </c>
      <c r="B25" s="256"/>
      <c r="C25" s="256"/>
      <c r="D25" s="256"/>
      <c r="E25" s="256"/>
      <c r="F25" s="29">
        <f>F17+F24</f>
        <v>5363.2888711926062</v>
      </c>
      <c r="G25" s="29">
        <f t="shared" ref="G25:J25" si="4">G17+G24</f>
        <v>-599</v>
      </c>
      <c r="H25" s="29">
        <f t="shared" si="4"/>
        <v>-1857</v>
      </c>
      <c r="I25" s="29">
        <f t="shared" si="4"/>
        <v>-1857</v>
      </c>
      <c r="J25" s="29">
        <f t="shared" si="4"/>
        <v>-1857</v>
      </c>
    </row>
    <row r="26" spans="1:10" ht="18" x14ac:dyDescent="0.25">
      <c r="A26" s="20"/>
      <c r="B26" s="21"/>
      <c r="C26" s="21"/>
      <c r="D26" s="21"/>
      <c r="E26" s="21"/>
      <c r="F26" s="21"/>
      <c r="G26" s="21"/>
      <c r="H26" s="22"/>
      <c r="I26" s="22"/>
      <c r="J26" s="22"/>
    </row>
    <row r="27" spans="1:10" ht="15.75" x14ac:dyDescent="0.25">
      <c r="A27" s="257" t="s">
        <v>66</v>
      </c>
      <c r="B27" s="258"/>
      <c r="C27" s="258"/>
      <c r="D27" s="258"/>
      <c r="E27" s="258"/>
      <c r="F27" s="258"/>
      <c r="G27" s="258"/>
      <c r="H27" s="258"/>
      <c r="I27" s="258"/>
      <c r="J27" s="258"/>
    </row>
    <row r="28" spans="1:10" ht="15.75" x14ac:dyDescent="0.25">
      <c r="A28" s="38"/>
      <c r="B28" s="39"/>
      <c r="C28" s="39"/>
      <c r="D28" s="39"/>
      <c r="E28" s="39"/>
      <c r="F28" s="39"/>
      <c r="G28" s="39"/>
      <c r="H28" s="39"/>
      <c r="I28" s="39"/>
      <c r="J28" s="39"/>
    </row>
    <row r="29" spans="1:10" ht="25.5" x14ac:dyDescent="0.25">
      <c r="A29" s="25"/>
      <c r="B29" s="26"/>
      <c r="C29" s="26"/>
      <c r="D29" s="27"/>
      <c r="E29" s="28"/>
      <c r="F29" s="3" t="s">
        <v>36</v>
      </c>
      <c r="G29" s="3" t="s">
        <v>34</v>
      </c>
      <c r="H29" s="3" t="s">
        <v>44</v>
      </c>
      <c r="I29" s="3" t="s">
        <v>45</v>
      </c>
      <c r="J29" s="3" t="s">
        <v>46</v>
      </c>
    </row>
    <row r="30" spans="1:10" ht="15" customHeight="1" x14ac:dyDescent="0.25">
      <c r="A30" s="259" t="s">
        <v>67</v>
      </c>
      <c r="B30" s="260"/>
      <c r="C30" s="260"/>
      <c r="D30" s="260"/>
      <c r="E30" s="261"/>
      <c r="F30" s="42">
        <v>0</v>
      </c>
      <c r="G30" s="42">
        <v>16437</v>
      </c>
      <c r="H30" s="42">
        <v>0</v>
      </c>
      <c r="I30" s="42">
        <v>0</v>
      </c>
      <c r="J30" s="43">
        <v>0</v>
      </c>
    </row>
    <row r="31" spans="1:10" ht="15" customHeight="1" x14ac:dyDescent="0.25">
      <c r="A31" s="255" t="s">
        <v>68</v>
      </c>
      <c r="B31" s="256"/>
      <c r="C31" s="256"/>
      <c r="D31" s="256"/>
      <c r="E31" s="256"/>
      <c r="F31" s="44">
        <f>F25+F30</f>
        <v>5363.2888711926062</v>
      </c>
      <c r="G31" s="44">
        <f t="shared" ref="G31:J31" si="5">G25+G30</f>
        <v>15838</v>
      </c>
      <c r="H31" s="44">
        <f t="shared" si="5"/>
        <v>-1857</v>
      </c>
      <c r="I31" s="44">
        <f t="shared" si="5"/>
        <v>-1857</v>
      </c>
      <c r="J31" s="45">
        <f t="shared" si="5"/>
        <v>-1857</v>
      </c>
    </row>
    <row r="32" spans="1:10" ht="45" customHeight="1" x14ac:dyDescent="0.25">
      <c r="A32" s="262" t="s">
        <v>69</v>
      </c>
      <c r="B32" s="263"/>
      <c r="C32" s="263"/>
      <c r="D32" s="263"/>
      <c r="E32" s="264"/>
      <c r="F32" s="44">
        <f>F17+F24+F30-F31</f>
        <v>0</v>
      </c>
      <c r="G32" s="44">
        <f t="shared" ref="G32:J32" si="6">G17+G24+G30-G31</f>
        <v>0</v>
      </c>
      <c r="H32" s="44">
        <f t="shared" si="6"/>
        <v>0</v>
      </c>
      <c r="I32" s="44">
        <f t="shared" si="6"/>
        <v>0</v>
      </c>
      <c r="J32" s="45">
        <f t="shared" si="6"/>
        <v>0</v>
      </c>
    </row>
    <row r="33" spans="1:10" ht="15.75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</row>
    <row r="34" spans="1:10" ht="15.75" x14ac:dyDescent="0.25">
      <c r="A34" s="265" t="s">
        <v>63</v>
      </c>
      <c r="B34" s="265"/>
      <c r="C34" s="265"/>
      <c r="D34" s="265"/>
      <c r="E34" s="265"/>
      <c r="F34" s="265"/>
      <c r="G34" s="265"/>
      <c r="H34" s="265"/>
      <c r="I34" s="265"/>
      <c r="J34" s="265"/>
    </row>
    <row r="35" spans="1:10" ht="18" x14ac:dyDescent="0.25">
      <c r="A35" s="48"/>
      <c r="B35" s="49"/>
      <c r="C35" s="49"/>
      <c r="D35" s="49"/>
      <c r="E35" s="49"/>
      <c r="F35" s="49"/>
      <c r="G35" s="49"/>
      <c r="H35" s="50"/>
      <c r="I35" s="50"/>
      <c r="J35" s="50"/>
    </row>
    <row r="36" spans="1:10" ht="25.5" x14ac:dyDescent="0.25">
      <c r="A36" s="51"/>
      <c r="B36" s="52"/>
      <c r="C36" s="52"/>
      <c r="D36" s="53"/>
      <c r="E36" s="54"/>
      <c r="F36" s="55" t="s">
        <v>36</v>
      </c>
      <c r="G36" s="55" t="s">
        <v>34</v>
      </c>
      <c r="H36" s="55" t="s">
        <v>44</v>
      </c>
      <c r="I36" s="55" t="s">
        <v>45</v>
      </c>
      <c r="J36" s="55" t="s">
        <v>46</v>
      </c>
    </row>
    <row r="37" spans="1:10" x14ac:dyDescent="0.25">
      <c r="A37" s="259" t="s">
        <v>67</v>
      </c>
      <c r="B37" s="260"/>
      <c r="C37" s="260"/>
      <c r="D37" s="260"/>
      <c r="E37" s="261"/>
      <c r="F37" s="42">
        <v>0</v>
      </c>
      <c r="G37" s="42">
        <f>F40</f>
        <v>0</v>
      </c>
      <c r="H37" s="42">
        <f>G40</f>
        <v>0</v>
      </c>
      <c r="I37" s="42">
        <f>H40</f>
        <v>0</v>
      </c>
      <c r="J37" s="43">
        <f>I40</f>
        <v>0</v>
      </c>
    </row>
    <row r="38" spans="1:10" ht="28.5" customHeight="1" x14ac:dyDescent="0.25">
      <c r="A38" s="259" t="s">
        <v>70</v>
      </c>
      <c r="B38" s="260"/>
      <c r="C38" s="260"/>
      <c r="D38" s="260"/>
      <c r="E38" s="261"/>
      <c r="F38" s="42">
        <v>0</v>
      </c>
      <c r="G38" s="42">
        <v>0</v>
      </c>
      <c r="H38" s="42">
        <v>0</v>
      </c>
      <c r="I38" s="42">
        <v>0</v>
      </c>
      <c r="J38" s="43">
        <v>0</v>
      </c>
    </row>
    <row r="39" spans="1:10" x14ac:dyDescent="0.25">
      <c r="A39" s="259" t="s">
        <v>71</v>
      </c>
      <c r="B39" s="266"/>
      <c r="C39" s="266"/>
      <c r="D39" s="266"/>
      <c r="E39" s="267"/>
      <c r="F39" s="42">
        <v>0</v>
      </c>
      <c r="G39" s="42">
        <v>0</v>
      </c>
      <c r="H39" s="42">
        <v>0</v>
      </c>
      <c r="I39" s="42">
        <v>0</v>
      </c>
      <c r="J39" s="43">
        <v>0</v>
      </c>
    </row>
    <row r="40" spans="1:10" ht="15" customHeight="1" x14ac:dyDescent="0.25">
      <c r="A40" s="255" t="s">
        <v>68</v>
      </c>
      <c r="B40" s="256"/>
      <c r="C40" s="256"/>
      <c r="D40" s="256"/>
      <c r="E40" s="256"/>
      <c r="F40" s="31">
        <f>F37-F38+F39</f>
        <v>0</v>
      </c>
      <c r="G40" s="31">
        <f t="shared" ref="G40:J40" si="7">G37-G38+G39</f>
        <v>0</v>
      </c>
      <c r="H40" s="31">
        <f t="shared" si="7"/>
        <v>0</v>
      </c>
      <c r="I40" s="31">
        <f t="shared" si="7"/>
        <v>0</v>
      </c>
      <c r="J40" s="56">
        <f t="shared" si="7"/>
        <v>0</v>
      </c>
    </row>
    <row r="41" spans="1:10" ht="17.25" customHeight="1" x14ac:dyDescent="0.25"/>
    <row r="42" spans="1:10" x14ac:dyDescent="0.25">
      <c r="A42" s="253" t="s">
        <v>37</v>
      </c>
      <c r="B42" s="254"/>
      <c r="C42" s="254"/>
      <c r="D42" s="254"/>
      <c r="E42" s="254"/>
      <c r="F42" s="254"/>
      <c r="G42" s="254"/>
      <c r="H42" s="254"/>
      <c r="I42" s="254"/>
      <c r="J42" s="254"/>
    </row>
    <row r="43" spans="1:10" ht="9" customHeight="1" x14ac:dyDescent="0.25"/>
  </sheetData>
  <mergeCells count="25">
    <mergeCell ref="A1:D1"/>
    <mergeCell ref="A23:E23"/>
    <mergeCell ref="A4:J4"/>
    <mergeCell ref="A6:J6"/>
    <mergeCell ref="A8:J8"/>
    <mergeCell ref="A11:E11"/>
    <mergeCell ref="A12:E12"/>
    <mergeCell ref="A13:E13"/>
    <mergeCell ref="A15:E15"/>
    <mergeCell ref="A16:E16"/>
    <mergeCell ref="A17:E17"/>
    <mergeCell ref="A19:J19"/>
    <mergeCell ref="A22:E22"/>
    <mergeCell ref="A42:J42"/>
    <mergeCell ref="A24:E24"/>
    <mergeCell ref="A25:E25"/>
    <mergeCell ref="A27:J27"/>
    <mergeCell ref="A30:E30"/>
    <mergeCell ref="A31:E31"/>
    <mergeCell ref="A32:E32"/>
    <mergeCell ref="A34:J34"/>
    <mergeCell ref="A37:E37"/>
    <mergeCell ref="A38:E38"/>
    <mergeCell ref="A39:E39"/>
    <mergeCell ref="A40:E40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0"/>
  <sheetViews>
    <sheetView topLeftCell="A16" workbookViewId="0">
      <selection activeCell="D12" sqref="D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25.28515625" customWidth="1"/>
    <col min="4" max="4" width="22.28515625" customWidth="1"/>
    <col min="5" max="5" width="21" customWidth="1"/>
    <col min="6" max="6" width="20.85546875" customWidth="1"/>
    <col min="7" max="8" width="25.28515625" customWidth="1"/>
  </cols>
  <sheetData>
    <row r="1" spans="1:8" ht="42" customHeight="1" x14ac:dyDescent="0.25">
      <c r="A1" s="257" t="s">
        <v>30</v>
      </c>
      <c r="B1" s="257"/>
      <c r="C1" s="257"/>
      <c r="D1" s="257"/>
      <c r="E1" s="257"/>
      <c r="F1" s="257"/>
      <c r="G1" s="257"/>
      <c r="H1" s="257"/>
    </row>
    <row r="2" spans="1:8" ht="47.25" customHeight="1" x14ac:dyDescent="0.25">
      <c r="A2" s="268" t="s">
        <v>131</v>
      </c>
      <c r="B2" s="269"/>
      <c r="C2" s="269"/>
      <c r="D2" s="269"/>
      <c r="E2" s="4"/>
      <c r="F2" s="4"/>
      <c r="G2" s="4"/>
      <c r="H2" s="4"/>
    </row>
    <row r="3" spans="1:8" ht="15.75" customHeight="1" x14ac:dyDescent="0.25">
      <c r="A3" s="257" t="s">
        <v>17</v>
      </c>
      <c r="B3" s="257"/>
      <c r="C3" s="257"/>
      <c r="D3" s="257"/>
      <c r="E3" s="257"/>
      <c r="F3" s="257"/>
      <c r="G3" s="257"/>
      <c r="H3" s="257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257" t="s">
        <v>4</v>
      </c>
      <c r="B5" s="257"/>
      <c r="C5" s="257"/>
      <c r="D5" s="257"/>
      <c r="E5" s="257"/>
      <c r="F5" s="257"/>
      <c r="G5" s="257"/>
      <c r="H5" s="257"/>
    </row>
    <row r="6" spans="1:8" ht="12" customHeight="1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257" t="s">
        <v>47</v>
      </c>
      <c r="B7" s="257"/>
      <c r="C7" s="257"/>
      <c r="D7" s="257"/>
      <c r="E7" s="257"/>
      <c r="F7" s="257"/>
      <c r="G7" s="257"/>
      <c r="H7" s="257"/>
    </row>
    <row r="8" spans="1:8" ht="9.75" customHeight="1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19" t="s">
        <v>5</v>
      </c>
      <c r="B9" s="19" t="s">
        <v>6</v>
      </c>
      <c r="C9" s="19" t="s">
        <v>3</v>
      </c>
      <c r="D9" s="19" t="s">
        <v>33</v>
      </c>
      <c r="E9" s="19" t="s">
        <v>34</v>
      </c>
      <c r="F9" s="19" t="s">
        <v>31</v>
      </c>
      <c r="G9" s="19" t="s">
        <v>25</v>
      </c>
      <c r="H9" s="19" t="s">
        <v>32</v>
      </c>
    </row>
    <row r="10" spans="1:8" x14ac:dyDescent="0.25">
      <c r="A10" s="35"/>
      <c r="B10" s="35"/>
      <c r="C10" s="37" t="s">
        <v>0</v>
      </c>
      <c r="D10" s="241">
        <v>1434239</v>
      </c>
      <c r="E10" s="229">
        <v>1808129</v>
      </c>
      <c r="F10" s="229">
        <v>1694843</v>
      </c>
      <c r="G10" s="241">
        <v>1694843</v>
      </c>
      <c r="H10" s="241">
        <v>1694843</v>
      </c>
    </row>
    <row r="11" spans="1:8" ht="15.75" customHeight="1" x14ac:dyDescent="0.25">
      <c r="A11" s="11">
        <v>6</v>
      </c>
      <c r="B11" s="11"/>
      <c r="C11" s="11" t="s">
        <v>7</v>
      </c>
      <c r="D11" s="63">
        <f>10805636/7.5345</f>
        <v>1434154.3566261861</v>
      </c>
      <c r="E11" s="63">
        <f>E12+E13+E14+E15+E17+E18</f>
        <v>1779960</v>
      </c>
      <c r="F11" s="63">
        <v>1692986</v>
      </c>
      <c r="G11" s="9"/>
      <c r="H11" s="9"/>
    </row>
    <row r="12" spans="1:8" ht="38.25" x14ac:dyDescent="0.25">
      <c r="A12" s="11"/>
      <c r="B12" s="15">
        <v>63</v>
      </c>
      <c r="C12" s="57" t="s">
        <v>126</v>
      </c>
      <c r="D12" s="9">
        <f>8506330/7.5345</f>
        <v>1128984.006901586</v>
      </c>
      <c r="E12" s="9">
        <v>1411425</v>
      </c>
      <c r="F12" s="9">
        <v>1417703</v>
      </c>
      <c r="G12" s="9">
        <v>1417703</v>
      </c>
      <c r="H12" s="9">
        <v>1417703</v>
      </c>
    </row>
    <row r="13" spans="1:8" ht="24" x14ac:dyDescent="0.25">
      <c r="A13" s="12"/>
      <c r="B13" s="15">
        <v>64</v>
      </c>
      <c r="C13" s="58" t="s">
        <v>130</v>
      </c>
      <c r="D13" s="9">
        <f>3420/7.5345</f>
        <v>453.91200477802107</v>
      </c>
      <c r="E13" s="9">
        <v>10</v>
      </c>
      <c r="F13" s="9">
        <v>10</v>
      </c>
      <c r="G13" s="9">
        <v>10</v>
      </c>
      <c r="H13" s="9">
        <v>10</v>
      </c>
    </row>
    <row r="14" spans="1:8" ht="48" x14ac:dyDescent="0.25">
      <c r="A14" s="12"/>
      <c r="B14" s="15">
        <v>65</v>
      </c>
      <c r="C14" s="59" t="s">
        <v>127</v>
      </c>
      <c r="D14" s="9">
        <f>39486/7.5345</f>
        <v>5240.6928130599244</v>
      </c>
      <c r="E14" s="9">
        <v>5576</v>
      </c>
      <c r="F14" s="247">
        <v>5880</v>
      </c>
      <c r="G14" s="9">
        <v>5880</v>
      </c>
      <c r="H14" s="9">
        <v>5880</v>
      </c>
    </row>
    <row r="15" spans="1:8" ht="72" x14ac:dyDescent="0.25">
      <c r="A15" s="12"/>
      <c r="B15" s="15">
        <v>66</v>
      </c>
      <c r="C15" s="60" t="s">
        <v>128</v>
      </c>
      <c r="D15" s="9">
        <f>96224/7.5345</f>
        <v>12771.119516888977</v>
      </c>
      <c r="E15" s="9">
        <v>1858</v>
      </c>
      <c r="F15" s="9">
        <v>1858</v>
      </c>
      <c r="G15" s="9">
        <v>1858</v>
      </c>
      <c r="H15" s="9">
        <v>1858</v>
      </c>
    </row>
    <row r="16" spans="1:8" ht="41.25" customHeight="1" x14ac:dyDescent="0.25">
      <c r="A16" s="12"/>
      <c r="B16" s="15">
        <v>66</v>
      </c>
      <c r="C16" s="58" t="s">
        <v>129</v>
      </c>
      <c r="D16" s="9">
        <f>96224/7.5345</f>
        <v>12771.119516888977</v>
      </c>
      <c r="E16" s="9">
        <v>9066</v>
      </c>
      <c r="F16" s="9">
        <v>7066</v>
      </c>
      <c r="G16" s="9">
        <v>7066</v>
      </c>
      <c r="H16" s="9">
        <v>7066</v>
      </c>
    </row>
    <row r="17" spans="1:8" ht="60" x14ac:dyDescent="0.25">
      <c r="A17" s="12"/>
      <c r="B17" s="12">
        <v>67</v>
      </c>
      <c r="C17" s="61" t="s">
        <v>27</v>
      </c>
      <c r="D17" s="9">
        <f>2144608/7.5345</f>
        <v>284638.39670847432</v>
      </c>
      <c r="E17" s="9">
        <v>360891</v>
      </c>
      <c r="F17" s="9">
        <v>233945</v>
      </c>
      <c r="G17" s="9">
        <v>233945</v>
      </c>
      <c r="H17" s="9">
        <v>233945</v>
      </c>
    </row>
    <row r="18" spans="1:8" x14ac:dyDescent="0.25">
      <c r="A18" s="12"/>
      <c r="B18" s="12">
        <v>68</v>
      </c>
      <c r="C18" s="61" t="s">
        <v>72</v>
      </c>
      <c r="D18" s="9">
        <f>2/7.5345</f>
        <v>0.26544561682925211</v>
      </c>
      <c r="E18" s="9">
        <v>200</v>
      </c>
      <c r="F18" s="9">
        <v>100</v>
      </c>
      <c r="G18" s="9">
        <v>100</v>
      </c>
      <c r="H18" s="9">
        <v>100</v>
      </c>
    </row>
    <row r="19" spans="1:8" x14ac:dyDescent="0.25">
      <c r="A19" s="12">
        <v>9</v>
      </c>
      <c r="B19" s="12">
        <v>92</v>
      </c>
      <c r="C19" s="65" t="s">
        <v>82</v>
      </c>
      <c r="D19" s="9">
        <v>15089</v>
      </c>
      <c r="E19" s="230">
        <v>1327</v>
      </c>
      <c r="F19" s="74">
        <v>1327</v>
      </c>
      <c r="G19" s="9">
        <v>1327</v>
      </c>
      <c r="H19" s="9">
        <v>1327</v>
      </c>
    </row>
    <row r="20" spans="1:8" ht="30" x14ac:dyDescent="0.25">
      <c r="A20" s="12"/>
      <c r="B20" s="12">
        <v>93</v>
      </c>
      <c r="C20" s="65" t="s">
        <v>83</v>
      </c>
      <c r="D20" s="9">
        <v>421</v>
      </c>
      <c r="E20" s="9">
        <v>0</v>
      </c>
      <c r="F20" s="9">
        <v>0</v>
      </c>
      <c r="G20" s="9">
        <v>0</v>
      </c>
      <c r="H20" s="9">
        <v>0</v>
      </c>
    </row>
    <row r="21" spans="1:8" ht="30" x14ac:dyDescent="0.25">
      <c r="A21" s="12"/>
      <c r="B21" s="12">
        <v>94</v>
      </c>
      <c r="C21" s="65" t="s">
        <v>84</v>
      </c>
      <c r="D21" s="9">
        <v>2916</v>
      </c>
      <c r="E21" s="9">
        <v>0</v>
      </c>
      <c r="F21" s="9">
        <v>0</v>
      </c>
      <c r="G21" s="9"/>
      <c r="H21" s="9">
        <v>0</v>
      </c>
    </row>
    <row r="22" spans="1:8" ht="25.5" x14ac:dyDescent="0.25">
      <c r="A22" s="14">
        <v>7</v>
      </c>
      <c r="B22" s="14"/>
      <c r="C22" s="23" t="s">
        <v>8</v>
      </c>
      <c r="D22" s="9">
        <v>85</v>
      </c>
      <c r="E22" s="63">
        <v>80</v>
      </c>
      <c r="F22" s="63">
        <v>80</v>
      </c>
      <c r="G22" s="63">
        <v>80</v>
      </c>
      <c r="H22" s="9">
        <v>80</v>
      </c>
    </row>
    <row r="23" spans="1:8" ht="42" customHeight="1" x14ac:dyDescent="0.25">
      <c r="A23" s="15"/>
      <c r="B23" s="15">
        <v>72</v>
      </c>
      <c r="C23" s="62" t="s">
        <v>26</v>
      </c>
      <c r="D23" s="9">
        <f>641/7.5345</f>
        <v>85.075320193775298</v>
      </c>
      <c r="E23" s="9">
        <v>80</v>
      </c>
      <c r="F23" s="9">
        <v>80</v>
      </c>
      <c r="G23" s="9">
        <v>80</v>
      </c>
      <c r="H23" s="10">
        <v>80</v>
      </c>
    </row>
    <row r="24" spans="1:8" x14ac:dyDescent="0.25">
      <c r="A24" s="15"/>
      <c r="B24" s="15">
        <v>92</v>
      </c>
      <c r="C24" s="64" t="s">
        <v>77</v>
      </c>
      <c r="D24" s="9">
        <v>929</v>
      </c>
      <c r="E24" s="230">
        <v>599</v>
      </c>
      <c r="F24" s="74">
        <v>599</v>
      </c>
      <c r="G24" s="9">
        <v>599</v>
      </c>
      <c r="H24" s="10">
        <v>599</v>
      </c>
    </row>
    <row r="25" spans="1:8" x14ac:dyDescent="0.25">
      <c r="C25" t="s">
        <v>178</v>
      </c>
    </row>
    <row r="28" spans="1:8" ht="15.75" x14ac:dyDescent="0.25">
      <c r="A28" s="257" t="s">
        <v>48</v>
      </c>
      <c r="B28" s="277"/>
      <c r="C28" s="277"/>
      <c r="D28" s="277"/>
      <c r="E28" s="277"/>
      <c r="F28" s="277"/>
      <c r="G28" s="277"/>
      <c r="H28" s="277"/>
    </row>
    <row r="29" spans="1:8" ht="18" x14ac:dyDescent="0.25">
      <c r="A29" s="4"/>
      <c r="B29" s="4"/>
      <c r="C29" s="4"/>
      <c r="D29" s="4"/>
      <c r="E29" s="4"/>
      <c r="F29" s="4"/>
      <c r="G29" s="5"/>
      <c r="H29" s="5"/>
    </row>
    <row r="30" spans="1:8" ht="25.5" x14ac:dyDescent="0.25">
      <c r="A30" s="19" t="s">
        <v>5</v>
      </c>
      <c r="B30" s="19" t="s">
        <v>6</v>
      </c>
      <c r="C30" s="19" t="s">
        <v>9</v>
      </c>
      <c r="D30" s="19" t="s">
        <v>33</v>
      </c>
      <c r="E30" s="19" t="s">
        <v>34</v>
      </c>
      <c r="F30" s="19" t="s">
        <v>31</v>
      </c>
      <c r="G30" s="19" t="s">
        <v>25</v>
      </c>
      <c r="H30" s="19" t="s">
        <v>32</v>
      </c>
    </row>
    <row r="31" spans="1:8" x14ac:dyDescent="0.25">
      <c r="A31" s="35"/>
      <c r="B31" s="35"/>
      <c r="C31" s="37" t="s">
        <v>1</v>
      </c>
      <c r="D31" s="241">
        <v>1428876</v>
      </c>
      <c r="E31" s="251">
        <v>1808129</v>
      </c>
      <c r="F31" s="241">
        <v>1694843</v>
      </c>
      <c r="G31" s="35"/>
      <c r="H31" s="35"/>
    </row>
    <row r="32" spans="1:8" ht="15.75" customHeight="1" x14ac:dyDescent="0.25">
      <c r="A32" s="11">
        <v>3</v>
      </c>
      <c r="B32" s="11"/>
      <c r="C32" s="11" t="s">
        <v>10</v>
      </c>
      <c r="D32" s="63">
        <f>D33+D34+D35</f>
        <v>1353134.1017983942</v>
      </c>
      <c r="E32" s="63">
        <f>E33+E34+E35+E36+E37</f>
        <v>1703099</v>
      </c>
      <c r="F32" s="63">
        <v>1625767</v>
      </c>
      <c r="G32" s="63">
        <v>1625767</v>
      </c>
      <c r="H32" s="63">
        <v>1625767</v>
      </c>
    </row>
    <row r="33" spans="1:8" ht="15.75" customHeight="1" x14ac:dyDescent="0.25">
      <c r="A33" s="11"/>
      <c r="B33" s="15">
        <v>31</v>
      </c>
      <c r="C33" s="15" t="s">
        <v>11</v>
      </c>
      <c r="D33" s="9">
        <f>8460459.3/7.5345</f>
        <v>1122895.9187736413</v>
      </c>
      <c r="E33" s="9">
        <v>1416693</v>
      </c>
      <c r="F33" s="9">
        <v>1429479</v>
      </c>
      <c r="G33" s="9">
        <v>1429479</v>
      </c>
      <c r="H33" s="9">
        <v>1429479</v>
      </c>
    </row>
    <row r="34" spans="1:8" x14ac:dyDescent="0.25">
      <c r="A34" s="12"/>
      <c r="B34" s="12">
        <v>32</v>
      </c>
      <c r="C34" s="12" t="s">
        <v>20</v>
      </c>
      <c r="D34" s="9">
        <f>1699959.94/7.5345</f>
        <v>225623.45742915917</v>
      </c>
      <c r="E34" s="9">
        <v>284162</v>
      </c>
      <c r="F34" s="9">
        <v>192716</v>
      </c>
      <c r="G34" s="9">
        <v>192716</v>
      </c>
      <c r="H34" s="9">
        <v>192716</v>
      </c>
    </row>
    <row r="35" spans="1:8" x14ac:dyDescent="0.25">
      <c r="A35" s="12"/>
      <c r="B35" s="12">
        <v>34</v>
      </c>
      <c r="C35" s="13" t="s">
        <v>73</v>
      </c>
      <c r="D35" s="9">
        <f>34769.65/7.5345</f>
        <v>4614.7255955936025</v>
      </c>
      <c r="E35" s="9">
        <v>1614</v>
      </c>
      <c r="F35" s="9">
        <v>650</v>
      </c>
      <c r="G35" s="9">
        <v>650</v>
      </c>
      <c r="H35" s="9">
        <v>650</v>
      </c>
    </row>
    <row r="36" spans="1:8" ht="38.25" x14ac:dyDescent="0.25">
      <c r="A36" s="12"/>
      <c r="B36" s="12">
        <v>37</v>
      </c>
      <c r="C36" s="16" t="s">
        <v>74</v>
      </c>
      <c r="D36" s="9">
        <v>0</v>
      </c>
      <c r="E36" s="9">
        <v>400</v>
      </c>
      <c r="F36" s="9">
        <v>300</v>
      </c>
      <c r="G36" s="9">
        <v>300</v>
      </c>
      <c r="H36" s="9">
        <v>300</v>
      </c>
    </row>
    <row r="37" spans="1:8" x14ac:dyDescent="0.25">
      <c r="A37" s="12"/>
      <c r="B37" s="12">
        <v>38</v>
      </c>
      <c r="C37" s="13" t="s">
        <v>75</v>
      </c>
      <c r="D37" s="9">
        <v>0</v>
      </c>
      <c r="E37" s="9">
        <v>230</v>
      </c>
      <c r="F37" s="9">
        <v>230</v>
      </c>
      <c r="G37" s="9">
        <v>230</v>
      </c>
      <c r="H37" s="9">
        <v>230</v>
      </c>
    </row>
    <row r="38" spans="1:8" ht="25.5" x14ac:dyDescent="0.25">
      <c r="A38" s="14">
        <v>4</v>
      </c>
      <c r="B38" s="14"/>
      <c r="C38" s="23" t="s">
        <v>12</v>
      </c>
      <c r="D38" s="63">
        <f>D39+D40</f>
        <v>75742.004114407056</v>
      </c>
      <c r="E38" s="63">
        <f>E39+E40</f>
        <v>105030</v>
      </c>
      <c r="F38" s="63">
        <v>69076</v>
      </c>
      <c r="G38" s="63">
        <v>69076</v>
      </c>
      <c r="H38" s="63">
        <v>69076</v>
      </c>
    </row>
    <row r="39" spans="1:8" ht="38.25" x14ac:dyDescent="0.25">
      <c r="A39" s="15"/>
      <c r="B39" s="15">
        <v>42</v>
      </c>
      <c r="C39" s="24" t="s">
        <v>28</v>
      </c>
      <c r="D39" s="9">
        <f>546280.13/7.5345</f>
        <v>72503.833034707015</v>
      </c>
      <c r="E39" s="9">
        <v>98215</v>
      </c>
      <c r="F39" s="9">
        <v>69076</v>
      </c>
      <c r="G39" s="9">
        <v>69076</v>
      </c>
      <c r="H39" s="9">
        <v>69076</v>
      </c>
    </row>
    <row r="40" spans="1:8" ht="38.25" x14ac:dyDescent="0.25">
      <c r="A40" s="15"/>
      <c r="B40" s="15">
        <v>45</v>
      </c>
      <c r="C40" s="16" t="s">
        <v>76</v>
      </c>
      <c r="D40" s="9">
        <f>24398/7.5345</f>
        <v>3238.1710797000464</v>
      </c>
      <c r="E40" s="9">
        <v>6815</v>
      </c>
      <c r="F40" s="9">
        <v>0</v>
      </c>
      <c r="G40" s="9">
        <v>0</v>
      </c>
      <c r="H40" s="9">
        <v>0</v>
      </c>
    </row>
  </sheetData>
  <mergeCells count="6">
    <mergeCell ref="A28:H28"/>
    <mergeCell ref="A1:H1"/>
    <mergeCell ref="A3:H3"/>
    <mergeCell ref="A5:H5"/>
    <mergeCell ref="A7:H7"/>
    <mergeCell ref="A2:D2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5"/>
  <sheetViews>
    <sheetView workbookViewId="0">
      <selection activeCell="A7" sqref="A7:F7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257" t="s">
        <v>189</v>
      </c>
      <c r="B1" s="257"/>
      <c r="C1" s="257"/>
      <c r="D1" s="257"/>
      <c r="E1" s="257"/>
      <c r="F1" s="257"/>
    </row>
    <row r="2" spans="1:6" ht="44.25" customHeight="1" x14ac:dyDescent="0.25">
      <c r="A2" s="268" t="s">
        <v>131</v>
      </c>
      <c r="B2" s="269"/>
      <c r="C2" s="269"/>
      <c r="D2" s="269"/>
      <c r="E2" s="4"/>
      <c r="F2" s="4"/>
    </row>
    <row r="3" spans="1:6" ht="15.75" customHeight="1" x14ac:dyDescent="0.25">
      <c r="A3" s="257" t="s">
        <v>17</v>
      </c>
      <c r="B3" s="257"/>
      <c r="C3" s="257"/>
      <c r="D3" s="257"/>
      <c r="E3" s="257"/>
      <c r="F3" s="257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257" t="s">
        <v>4</v>
      </c>
      <c r="B5" s="257"/>
      <c r="C5" s="257"/>
      <c r="D5" s="257"/>
      <c r="E5" s="257"/>
      <c r="F5" s="257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257" t="s">
        <v>49</v>
      </c>
      <c r="B7" s="257"/>
      <c r="C7" s="257"/>
      <c r="D7" s="257"/>
      <c r="E7" s="257"/>
      <c r="F7" s="257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9" t="s">
        <v>51</v>
      </c>
      <c r="B9" s="18" t="s">
        <v>33</v>
      </c>
      <c r="C9" s="19" t="s">
        <v>34</v>
      </c>
      <c r="D9" s="19" t="s">
        <v>31</v>
      </c>
      <c r="E9" s="19" t="s">
        <v>25</v>
      </c>
      <c r="F9" s="19" t="s">
        <v>32</v>
      </c>
    </row>
    <row r="10" spans="1:6" x14ac:dyDescent="0.25">
      <c r="A10" s="37" t="s">
        <v>0</v>
      </c>
      <c r="B10" s="133">
        <f>10832736.33/7.5345</f>
        <v>1437751.1885327492</v>
      </c>
      <c r="C10" s="241">
        <v>1808129</v>
      </c>
      <c r="D10" s="241">
        <v>1694842</v>
      </c>
      <c r="E10" s="241">
        <v>1694842</v>
      </c>
      <c r="F10" s="241">
        <v>1694842</v>
      </c>
    </row>
    <row r="11" spans="1:6" ht="25.5" x14ac:dyDescent="0.25">
      <c r="A11" s="67" t="s">
        <v>186</v>
      </c>
      <c r="B11" s="130">
        <f>2144608/7.5345</f>
        <v>284638.39670847432</v>
      </c>
      <c r="C11" s="130">
        <f>C12+C13+C14+C15</f>
        <v>340678</v>
      </c>
      <c r="D11" s="130">
        <f>D12+D13+D14+D15</f>
        <v>233953</v>
      </c>
      <c r="E11" s="130">
        <f t="shared" ref="E11:F11" si="0">E12+E13+E14+E15</f>
        <v>233953</v>
      </c>
      <c r="F11" s="130">
        <f t="shared" si="0"/>
        <v>233953</v>
      </c>
    </row>
    <row r="12" spans="1:6" ht="25.5" x14ac:dyDescent="0.25">
      <c r="A12" s="71" t="s">
        <v>80</v>
      </c>
      <c r="B12" s="72">
        <v>451</v>
      </c>
      <c r="C12" s="72">
        <v>453</v>
      </c>
      <c r="D12" s="72">
        <v>650</v>
      </c>
      <c r="E12" s="72">
        <v>650</v>
      </c>
      <c r="F12" s="72">
        <v>650</v>
      </c>
    </row>
    <row r="13" spans="1:6" x14ac:dyDescent="0.25">
      <c r="A13" s="73" t="s">
        <v>57</v>
      </c>
      <c r="B13" s="92">
        <f>105731/7.5345</f>
        <v>14032.915256486827</v>
      </c>
      <c r="C13" s="92">
        <v>39639</v>
      </c>
      <c r="D13" s="92">
        <v>7995</v>
      </c>
      <c r="E13" s="92">
        <v>7995</v>
      </c>
      <c r="F13" s="92">
        <v>7995</v>
      </c>
    </row>
    <row r="14" spans="1:6" x14ac:dyDescent="0.25">
      <c r="A14" s="73" t="s">
        <v>120</v>
      </c>
      <c r="B14" s="92">
        <f>136000/7.5345</f>
        <v>18050.301944389143</v>
      </c>
      <c r="C14" s="92">
        <v>129376</v>
      </c>
      <c r="D14" s="92">
        <v>133258</v>
      </c>
      <c r="E14" s="92">
        <v>133258</v>
      </c>
      <c r="F14" s="92">
        <v>133258</v>
      </c>
    </row>
    <row r="15" spans="1:6" x14ac:dyDescent="0.25">
      <c r="A15" s="73" t="s">
        <v>119</v>
      </c>
      <c r="B15" s="132"/>
      <c r="C15" s="92">
        <v>171210</v>
      </c>
      <c r="D15" s="92">
        <v>92050</v>
      </c>
      <c r="E15" s="92">
        <v>92050</v>
      </c>
      <c r="F15" s="92">
        <v>92050</v>
      </c>
    </row>
    <row r="16" spans="1:6" x14ac:dyDescent="0.25">
      <c r="A16" s="13">
        <v>92</v>
      </c>
      <c r="B16" s="140"/>
      <c r="C16" s="139">
        <v>0</v>
      </c>
      <c r="D16" s="139"/>
      <c r="E16" s="9"/>
      <c r="F16" s="9"/>
    </row>
    <row r="17" spans="1:6" x14ac:dyDescent="0.25">
      <c r="A17" s="66" t="s">
        <v>81</v>
      </c>
      <c r="B17" s="68">
        <f>99646.66/7.5345</f>
        <v>13225.384564337381</v>
      </c>
      <c r="C17" s="93">
        <v>9276</v>
      </c>
      <c r="D17" s="93">
        <v>7176</v>
      </c>
      <c r="E17" s="93">
        <v>7176</v>
      </c>
      <c r="F17" s="93">
        <v>7176</v>
      </c>
    </row>
    <row r="18" spans="1:6" ht="25.5" x14ac:dyDescent="0.25">
      <c r="A18" s="131" t="s">
        <v>123</v>
      </c>
      <c r="B18" s="68">
        <f>99646.66/7.5345</f>
        <v>13225.384564337381</v>
      </c>
      <c r="C18" s="93">
        <v>9276</v>
      </c>
      <c r="D18" s="93">
        <v>7176</v>
      </c>
      <c r="E18" s="93">
        <v>7176</v>
      </c>
      <c r="F18" s="93">
        <v>7176</v>
      </c>
    </row>
    <row r="19" spans="1:6" x14ac:dyDescent="0.25">
      <c r="A19" s="17" t="s">
        <v>87</v>
      </c>
      <c r="B19" s="248">
        <f>39131/7.5345</f>
        <v>5193.5762160727318</v>
      </c>
      <c r="C19" s="242">
        <v>15987</v>
      </c>
      <c r="D19" s="242">
        <v>1327</v>
      </c>
      <c r="E19" s="242">
        <v>1327</v>
      </c>
      <c r="F19" s="242">
        <v>1327</v>
      </c>
    </row>
    <row r="20" spans="1:6" ht="25.5" x14ac:dyDescent="0.25">
      <c r="A20" s="69" t="s">
        <v>185</v>
      </c>
      <c r="B20" s="70">
        <v>5241</v>
      </c>
      <c r="C20" s="103">
        <v>5996</v>
      </c>
      <c r="D20" s="94">
        <v>5880</v>
      </c>
      <c r="E20" s="94">
        <v>5880</v>
      </c>
      <c r="F20" s="94">
        <v>5880</v>
      </c>
    </row>
    <row r="21" spans="1:6" ht="25.5" x14ac:dyDescent="0.25">
      <c r="A21" s="89" t="s">
        <v>55</v>
      </c>
      <c r="B21" s="90">
        <f>39486/7.5345</f>
        <v>5240.6928130599244</v>
      </c>
      <c r="C21" s="95">
        <v>5576</v>
      </c>
      <c r="D21" s="95">
        <v>5880</v>
      </c>
      <c r="E21" s="91">
        <v>5880</v>
      </c>
      <c r="F21" s="91">
        <v>5880</v>
      </c>
    </row>
    <row r="22" spans="1:6" ht="25.5" x14ac:dyDescent="0.25">
      <c r="A22" s="16" t="s">
        <v>88</v>
      </c>
      <c r="B22" s="8"/>
      <c r="C22" s="139">
        <v>421</v>
      </c>
      <c r="D22" s="139"/>
      <c r="E22" s="9"/>
      <c r="F22" s="9"/>
    </row>
    <row r="23" spans="1:6" x14ac:dyDescent="0.25">
      <c r="A23" s="76" t="s">
        <v>184</v>
      </c>
      <c r="B23" s="77">
        <v>1129037</v>
      </c>
      <c r="C23" s="104">
        <f>C24+C26</f>
        <v>1414341</v>
      </c>
      <c r="D23" s="104">
        <v>1417703</v>
      </c>
      <c r="E23" s="104">
        <v>1417703</v>
      </c>
      <c r="F23" s="104">
        <v>1417703</v>
      </c>
    </row>
    <row r="24" spans="1:6" x14ac:dyDescent="0.25">
      <c r="A24" s="80" t="s">
        <v>53</v>
      </c>
      <c r="B24" s="77">
        <f>8506730/7.5345</f>
        <v>1129037.0960249519</v>
      </c>
      <c r="C24" s="82">
        <v>1411425</v>
      </c>
      <c r="D24" s="82">
        <v>1417703</v>
      </c>
      <c r="E24" s="82">
        <v>1417703</v>
      </c>
      <c r="F24" s="82">
        <v>1417703</v>
      </c>
    </row>
    <row r="25" spans="1:6" ht="25.5" x14ac:dyDescent="0.25">
      <c r="A25" s="81" t="s">
        <v>79</v>
      </c>
      <c r="B25" s="77"/>
      <c r="C25" s="82">
        <v>1593</v>
      </c>
      <c r="D25" s="82"/>
      <c r="E25" s="78"/>
      <c r="F25" s="79"/>
    </row>
    <row r="26" spans="1:6" x14ac:dyDescent="0.25">
      <c r="A26" s="16" t="s">
        <v>89</v>
      </c>
      <c r="B26" s="248">
        <v>0</v>
      </c>
      <c r="C26" s="242">
        <v>2916</v>
      </c>
      <c r="D26" s="242">
        <v>0</v>
      </c>
      <c r="E26" s="230"/>
      <c r="F26" s="249">
        <v>0</v>
      </c>
    </row>
    <row r="27" spans="1:6" x14ac:dyDescent="0.25">
      <c r="A27" s="83" t="s">
        <v>187</v>
      </c>
      <c r="B27" s="84"/>
      <c r="C27" s="85"/>
      <c r="D27" s="85"/>
      <c r="E27" s="86"/>
      <c r="F27" s="87"/>
    </row>
    <row r="28" spans="1:6" ht="25.5" x14ac:dyDescent="0.25">
      <c r="A28" s="88" t="s">
        <v>86</v>
      </c>
      <c r="B28" s="234">
        <f>15164/7.5345</f>
        <v>2012.6086667993893</v>
      </c>
      <c r="C28" s="235">
        <v>1858</v>
      </c>
      <c r="D28" s="236">
        <v>1858</v>
      </c>
      <c r="E28" s="237">
        <v>1858</v>
      </c>
      <c r="F28" s="238">
        <v>1858</v>
      </c>
    </row>
    <row r="29" spans="1:6" x14ac:dyDescent="0.25">
      <c r="A29" s="96" t="s">
        <v>188</v>
      </c>
      <c r="B29" s="97"/>
      <c r="C29" s="141"/>
      <c r="D29" s="99"/>
      <c r="E29" s="100"/>
      <c r="F29" s="101"/>
    </row>
    <row r="30" spans="1:6" ht="25.5" x14ac:dyDescent="0.25">
      <c r="A30" s="102" t="s">
        <v>90</v>
      </c>
      <c r="B30" s="97">
        <f>640.5/7.5345</f>
        <v>85.008958789567984</v>
      </c>
      <c r="C30" s="98">
        <v>80</v>
      </c>
      <c r="D30" s="99">
        <v>80</v>
      </c>
      <c r="E30" s="100">
        <v>80</v>
      </c>
      <c r="F30" s="101">
        <v>80</v>
      </c>
    </row>
    <row r="31" spans="1:6" ht="12.75" customHeight="1" x14ac:dyDescent="0.25">
      <c r="A31" s="102" t="s">
        <v>91</v>
      </c>
      <c r="B31" s="248">
        <v>599</v>
      </c>
      <c r="C31" s="242">
        <v>599</v>
      </c>
      <c r="D31" s="250">
        <v>530</v>
      </c>
      <c r="E31" s="230">
        <v>530</v>
      </c>
      <c r="F31" s="249">
        <v>530</v>
      </c>
    </row>
    <row r="32" spans="1:6" ht="15.75" customHeight="1" x14ac:dyDescent="0.25"/>
    <row r="33" spans="1:6" ht="15.75" x14ac:dyDescent="0.25">
      <c r="A33" s="257" t="s">
        <v>50</v>
      </c>
      <c r="B33" s="257"/>
      <c r="C33" s="257"/>
      <c r="D33" s="257"/>
      <c r="E33" s="257"/>
      <c r="F33" s="257"/>
    </row>
    <row r="34" spans="1:6" ht="18" x14ac:dyDescent="0.25">
      <c r="A34" s="4"/>
      <c r="B34" s="4"/>
      <c r="C34" s="4"/>
      <c r="D34" s="4"/>
      <c r="E34" s="5"/>
      <c r="F34" s="5"/>
    </row>
    <row r="35" spans="1:6" ht="25.5" x14ac:dyDescent="0.25">
      <c r="A35" s="19" t="s">
        <v>51</v>
      </c>
      <c r="B35" s="18" t="s">
        <v>33</v>
      </c>
      <c r="C35" s="19" t="s">
        <v>34</v>
      </c>
      <c r="D35" s="19" t="s">
        <v>31</v>
      </c>
      <c r="E35" s="19" t="s">
        <v>25</v>
      </c>
      <c r="F35" s="19" t="s">
        <v>32</v>
      </c>
    </row>
    <row r="36" spans="1:6" ht="15.75" customHeight="1" x14ac:dyDescent="0.25">
      <c r="A36" s="37" t="s">
        <v>1</v>
      </c>
      <c r="B36" s="133">
        <f>10765867.02/7.5345</f>
        <v>1428876.1059128009</v>
      </c>
      <c r="C36" s="241">
        <v>1808129</v>
      </c>
      <c r="D36" s="241">
        <v>1694843</v>
      </c>
      <c r="E36" s="241">
        <v>1694842</v>
      </c>
      <c r="F36" s="241">
        <v>1694842</v>
      </c>
    </row>
    <row r="37" spans="1:6" x14ac:dyDescent="0.25">
      <c r="A37" s="67" t="s">
        <v>56</v>
      </c>
      <c r="B37" s="213">
        <v>284638</v>
      </c>
      <c r="C37" s="136">
        <f>C38+C39+C40</f>
        <v>340678</v>
      </c>
      <c r="D37" s="136">
        <f>D38+D39</f>
        <v>141903</v>
      </c>
      <c r="E37" s="136">
        <v>141903</v>
      </c>
      <c r="F37" s="136">
        <v>141903</v>
      </c>
    </row>
    <row r="38" spans="1:6" x14ac:dyDescent="0.25">
      <c r="A38" s="73" t="s">
        <v>57</v>
      </c>
      <c r="B38" s="75">
        <f>105731/7.5345</f>
        <v>14032.915256486827</v>
      </c>
      <c r="C38" s="92">
        <v>40092</v>
      </c>
      <c r="D38" s="92">
        <v>8645</v>
      </c>
      <c r="E38" s="92">
        <v>8645</v>
      </c>
      <c r="F38" s="92">
        <v>8645</v>
      </c>
    </row>
    <row r="39" spans="1:6" x14ac:dyDescent="0.25">
      <c r="A39" s="73" t="s">
        <v>78</v>
      </c>
      <c r="B39" s="75">
        <f>966250/7.5345</f>
        <v>128243.41363063242</v>
      </c>
      <c r="C39" s="92">
        <v>129376</v>
      </c>
      <c r="D39" s="92">
        <v>133258</v>
      </c>
      <c r="E39" s="92">
        <v>133258</v>
      </c>
      <c r="F39" s="92">
        <v>133258</v>
      </c>
    </row>
    <row r="40" spans="1:6" x14ac:dyDescent="0.25">
      <c r="A40" s="73" t="s">
        <v>173</v>
      </c>
      <c r="B40" s="75">
        <v>142362</v>
      </c>
      <c r="C40" s="92">
        <v>171210</v>
      </c>
      <c r="D40" s="92">
        <v>92050</v>
      </c>
      <c r="E40" s="92">
        <v>92050</v>
      </c>
      <c r="F40" s="92">
        <v>92050</v>
      </c>
    </row>
    <row r="41" spans="1:6" x14ac:dyDescent="0.25">
      <c r="A41" s="73" t="s">
        <v>177</v>
      </c>
      <c r="B41" s="214">
        <v>2588.12</v>
      </c>
      <c r="C41" s="92"/>
      <c r="D41" s="92"/>
      <c r="E41" s="92"/>
      <c r="F41" s="92"/>
    </row>
    <row r="42" spans="1:6" x14ac:dyDescent="0.25">
      <c r="A42" s="134" t="s">
        <v>58</v>
      </c>
      <c r="B42" s="212">
        <f>56405/7.5345</f>
        <v>7486.2300086269825</v>
      </c>
      <c r="C42" s="93">
        <v>24365</v>
      </c>
      <c r="D42" s="137">
        <v>8503</v>
      </c>
      <c r="E42" s="93">
        <v>8503</v>
      </c>
      <c r="F42" s="93">
        <v>8503</v>
      </c>
    </row>
    <row r="43" spans="1:6" x14ac:dyDescent="0.25">
      <c r="A43" s="135" t="s">
        <v>124</v>
      </c>
      <c r="B43" s="68">
        <f>17274.28/7.5345</f>
        <v>2292.6909549406064</v>
      </c>
      <c r="C43" s="93">
        <v>19361</v>
      </c>
      <c r="D43" s="137"/>
      <c r="E43" s="93"/>
      <c r="F43" s="93"/>
    </row>
    <row r="44" spans="1:6" x14ac:dyDescent="0.25">
      <c r="A44" s="135" t="s">
        <v>125</v>
      </c>
      <c r="B44" s="68"/>
      <c r="C44" s="93">
        <v>5004</v>
      </c>
      <c r="D44" s="93"/>
      <c r="E44" s="93"/>
      <c r="F44" s="232"/>
    </row>
    <row r="45" spans="1:6" ht="25.5" x14ac:dyDescent="0.25">
      <c r="A45" s="69" t="s">
        <v>54</v>
      </c>
      <c r="B45" s="143">
        <f>B46</f>
        <v>5240.6928130599244</v>
      </c>
      <c r="C45" s="103">
        <v>5576</v>
      </c>
      <c r="D45" s="103">
        <v>5880</v>
      </c>
      <c r="E45" s="94">
        <v>5880</v>
      </c>
      <c r="F45" s="94">
        <v>5880</v>
      </c>
    </row>
    <row r="46" spans="1:6" ht="25.5" x14ac:dyDescent="0.25">
      <c r="A46" s="89" t="s">
        <v>55</v>
      </c>
      <c r="B46" s="90">
        <f>39486/7.5345</f>
        <v>5240.6928130599244</v>
      </c>
      <c r="C46" s="95">
        <v>5576</v>
      </c>
      <c r="D46" s="95">
        <v>5880</v>
      </c>
      <c r="E46" s="95">
        <v>5880</v>
      </c>
      <c r="F46" s="95">
        <v>5880</v>
      </c>
    </row>
    <row r="47" spans="1:6" ht="25.5" x14ac:dyDescent="0.25">
      <c r="A47" s="89" t="s">
        <v>176</v>
      </c>
      <c r="B47" s="90">
        <f>3168/7.5345</f>
        <v>420.46585705753529</v>
      </c>
      <c r="C47" s="95"/>
      <c r="D47" s="95"/>
      <c r="E47" s="95"/>
      <c r="F47" s="95"/>
    </row>
    <row r="48" spans="1:6" x14ac:dyDescent="0.25">
      <c r="A48" s="76" t="s">
        <v>52</v>
      </c>
      <c r="B48" s="77"/>
      <c r="C48" s="104">
        <f>C49+C52</f>
        <v>1413283</v>
      </c>
      <c r="D48" s="104">
        <v>1417703</v>
      </c>
      <c r="E48" s="104">
        <v>1417703</v>
      </c>
      <c r="F48" s="104">
        <v>1417703</v>
      </c>
    </row>
    <row r="49" spans="1:6" x14ac:dyDescent="0.25">
      <c r="A49" s="80" t="s">
        <v>53</v>
      </c>
      <c r="B49" s="77">
        <f>8506730/7.5345</f>
        <v>1129037.0960249519</v>
      </c>
      <c r="C49" s="82">
        <v>1411425</v>
      </c>
      <c r="D49" s="82">
        <v>1417703</v>
      </c>
      <c r="E49" s="82">
        <v>1417703</v>
      </c>
      <c r="F49" s="82">
        <v>1417703</v>
      </c>
    </row>
    <row r="50" spans="1:6" ht="25.5" x14ac:dyDescent="0.25">
      <c r="A50" s="81" t="s">
        <v>79</v>
      </c>
      <c r="B50" s="77">
        <f>2418.37/7.5345</f>
        <v>320.97285818567917</v>
      </c>
      <c r="C50" s="82">
        <v>1593</v>
      </c>
      <c r="D50" s="82">
        <v>1593</v>
      </c>
      <c r="E50" s="82">
        <v>1593</v>
      </c>
      <c r="F50" s="233">
        <v>1593</v>
      </c>
    </row>
    <row r="51" spans="1:6" x14ac:dyDescent="0.25">
      <c r="A51" s="80">
        <v>95</v>
      </c>
      <c r="B51" s="77">
        <f>21972/7.5345</f>
        <v>2916.1855464861633</v>
      </c>
      <c r="C51" s="82"/>
      <c r="D51" s="82"/>
      <c r="E51" s="82"/>
      <c r="F51" s="233"/>
    </row>
    <row r="52" spans="1:6" x14ac:dyDescent="0.25">
      <c r="A52" s="83" t="s">
        <v>85</v>
      </c>
      <c r="B52" s="84">
        <v>2013</v>
      </c>
      <c r="C52" s="85">
        <v>1858</v>
      </c>
      <c r="D52" s="85">
        <v>1858</v>
      </c>
      <c r="E52" s="85">
        <v>1858</v>
      </c>
      <c r="F52" s="85">
        <v>1858</v>
      </c>
    </row>
    <row r="53" spans="1:6" ht="25.5" x14ac:dyDescent="0.25">
      <c r="A53" s="88" t="s">
        <v>86</v>
      </c>
      <c r="B53" s="84">
        <f>15164/7.5345</f>
        <v>2012.6086667993893</v>
      </c>
      <c r="C53" s="85">
        <v>1858</v>
      </c>
      <c r="D53" s="85">
        <v>1858</v>
      </c>
      <c r="E53" s="85">
        <v>1858</v>
      </c>
      <c r="F53" s="85">
        <v>1858</v>
      </c>
    </row>
    <row r="54" spans="1:6" x14ac:dyDescent="0.25">
      <c r="A54" s="96">
        <v>7</v>
      </c>
      <c r="B54" s="97"/>
      <c r="C54" s="98"/>
      <c r="D54" s="99"/>
      <c r="E54" s="98"/>
      <c r="F54" s="231"/>
    </row>
    <row r="55" spans="1:6" ht="25.5" x14ac:dyDescent="0.25">
      <c r="A55" s="102" t="s">
        <v>90</v>
      </c>
      <c r="B55" s="97">
        <v>300</v>
      </c>
      <c r="C55" s="98">
        <v>679</v>
      </c>
      <c r="D55" s="98">
        <v>610</v>
      </c>
      <c r="E55" s="98">
        <v>610</v>
      </c>
      <c r="F55" s="98">
        <v>610</v>
      </c>
    </row>
  </sheetData>
  <mergeCells count="6">
    <mergeCell ref="A1:F1"/>
    <mergeCell ref="A3:F3"/>
    <mergeCell ref="A5:F5"/>
    <mergeCell ref="A7:F7"/>
    <mergeCell ref="A33:F33"/>
    <mergeCell ref="A2:D2"/>
  </mergeCells>
  <phoneticPr fontId="23" type="noConversion"/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2"/>
  <sheetViews>
    <sheetView workbookViewId="0">
      <selection activeCell="D33" sqref="D32:D33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257" t="s">
        <v>30</v>
      </c>
      <c r="B1" s="257"/>
      <c r="C1" s="257"/>
      <c r="D1" s="257"/>
      <c r="E1" s="257"/>
      <c r="F1" s="257"/>
    </row>
    <row r="2" spans="1:6" ht="51.75" customHeight="1" x14ac:dyDescent="0.25">
      <c r="A2" s="268" t="s">
        <v>131</v>
      </c>
      <c r="B2" s="269"/>
      <c r="C2" s="269"/>
      <c r="D2" s="269"/>
      <c r="E2" s="4"/>
      <c r="F2" s="4"/>
    </row>
    <row r="3" spans="1:6" ht="15.75" x14ac:dyDescent="0.25">
      <c r="A3" s="257" t="s">
        <v>17</v>
      </c>
      <c r="B3" s="257"/>
      <c r="C3" s="257"/>
      <c r="D3" s="257"/>
      <c r="E3" s="272"/>
      <c r="F3" s="272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257" t="s">
        <v>4</v>
      </c>
      <c r="B5" s="258"/>
      <c r="C5" s="258"/>
      <c r="D5" s="258"/>
      <c r="E5" s="258"/>
      <c r="F5" s="258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257" t="s">
        <v>13</v>
      </c>
      <c r="B7" s="277"/>
      <c r="C7" s="277"/>
      <c r="D7" s="277"/>
      <c r="E7" s="277"/>
      <c r="F7" s="277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9" t="s">
        <v>51</v>
      </c>
      <c r="B9" s="18" t="s">
        <v>33</v>
      </c>
      <c r="C9" s="19" t="s">
        <v>34</v>
      </c>
      <c r="D9" s="19" t="s">
        <v>31</v>
      </c>
      <c r="E9" s="19" t="s">
        <v>25</v>
      </c>
      <c r="F9" s="19" t="s">
        <v>32</v>
      </c>
    </row>
    <row r="10" spans="1:6" ht="15.75" customHeight="1" x14ac:dyDescent="0.25">
      <c r="A10" s="11" t="s">
        <v>14</v>
      </c>
      <c r="B10" s="8"/>
      <c r="C10" s="9"/>
      <c r="D10" s="9"/>
      <c r="E10" s="9"/>
      <c r="F10" s="9"/>
    </row>
    <row r="11" spans="1:6" ht="15.75" customHeight="1" x14ac:dyDescent="0.25">
      <c r="A11" s="142" t="s">
        <v>132</v>
      </c>
      <c r="B11" s="138">
        <f>10765867/7.5345</f>
        <v>1428876.1032583448</v>
      </c>
      <c r="C11" s="63">
        <f>C12</f>
        <v>1808129</v>
      </c>
      <c r="D11" s="63">
        <v>1694843</v>
      </c>
      <c r="E11" s="63">
        <v>1694843</v>
      </c>
      <c r="F11" s="63">
        <v>1694843</v>
      </c>
    </row>
    <row r="12" spans="1:6" x14ac:dyDescent="0.25">
      <c r="A12" s="142" t="s">
        <v>133</v>
      </c>
      <c r="B12" s="8">
        <f>10765867/7.5345</f>
        <v>1428876.1032583448</v>
      </c>
      <c r="C12" s="9">
        <v>1808129</v>
      </c>
      <c r="D12" s="9">
        <v>1694843</v>
      </c>
      <c r="E12" s="9"/>
      <c r="F12" s="9"/>
    </row>
  </sheetData>
  <mergeCells count="5">
    <mergeCell ref="A1:F1"/>
    <mergeCell ref="A3:F3"/>
    <mergeCell ref="A5:F5"/>
    <mergeCell ref="A7:F7"/>
    <mergeCell ref="A2:D2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3"/>
  <sheetViews>
    <sheetView workbookViewId="0">
      <selection sqref="A1:H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257" t="s">
        <v>30</v>
      </c>
      <c r="B1" s="257"/>
      <c r="C1" s="257"/>
      <c r="D1" s="257"/>
      <c r="E1" s="257"/>
      <c r="F1" s="257"/>
      <c r="G1" s="257"/>
      <c r="H1" s="257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257" t="s">
        <v>17</v>
      </c>
      <c r="B3" s="257"/>
      <c r="C3" s="257"/>
      <c r="D3" s="257"/>
      <c r="E3" s="257"/>
      <c r="F3" s="257"/>
      <c r="G3" s="257"/>
      <c r="H3" s="257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257" t="s">
        <v>59</v>
      </c>
      <c r="B5" s="257"/>
      <c r="C5" s="257"/>
      <c r="D5" s="257"/>
      <c r="E5" s="257"/>
      <c r="F5" s="257"/>
      <c r="G5" s="257"/>
      <c r="H5" s="257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9" t="s">
        <v>5</v>
      </c>
      <c r="B7" s="18" t="s">
        <v>6</v>
      </c>
      <c r="C7" s="18" t="s">
        <v>29</v>
      </c>
      <c r="D7" s="18" t="s">
        <v>33</v>
      </c>
      <c r="E7" s="19" t="s">
        <v>34</v>
      </c>
      <c r="F7" s="19" t="s">
        <v>31</v>
      </c>
      <c r="G7" s="19" t="s">
        <v>25</v>
      </c>
      <c r="H7" s="19" t="s">
        <v>32</v>
      </c>
    </row>
    <row r="8" spans="1:8" x14ac:dyDescent="0.25">
      <c r="A8" s="35"/>
      <c r="B8" s="36"/>
      <c r="C8" s="34" t="s">
        <v>61</v>
      </c>
      <c r="D8" s="36"/>
      <c r="E8" s="35"/>
      <c r="F8" s="35"/>
      <c r="G8" s="35"/>
      <c r="H8" s="35"/>
    </row>
    <row r="9" spans="1:8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ht="24" x14ac:dyDescent="0.25">
      <c r="A10" s="215"/>
      <c r="B10" s="215">
        <v>83</v>
      </c>
      <c r="C10" s="216" t="s">
        <v>121</v>
      </c>
      <c r="D10" s="217">
        <f>26460/7.5345</f>
        <v>3511.845510651005</v>
      </c>
      <c r="E10" s="218">
        <v>0</v>
      </c>
      <c r="F10" s="218">
        <v>0</v>
      </c>
      <c r="G10" s="218"/>
      <c r="H10" s="218">
        <v>0</v>
      </c>
    </row>
    <row r="11" spans="1:8" x14ac:dyDescent="0.25">
      <c r="A11" s="11"/>
      <c r="B11" s="15"/>
      <c r="C11" s="34" t="s">
        <v>62</v>
      </c>
      <c r="D11" s="8"/>
      <c r="E11" s="9"/>
      <c r="F11" s="9"/>
      <c r="G11" s="9"/>
      <c r="H11" s="9"/>
    </row>
    <row r="12" spans="1:8" ht="25.5" x14ac:dyDescent="0.25">
      <c r="A12" s="14">
        <v>5</v>
      </c>
      <c r="B12" s="14"/>
      <c r="C12" s="23" t="s">
        <v>16</v>
      </c>
      <c r="D12" s="8"/>
      <c r="E12" s="9"/>
      <c r="F12" s="9"/>
      <c r="G12" s="9"/>
      <c r="H12" s="9"/>
    </row>
    <row r="13" spans="1:8" ht="25.5" x14ac:dyDescent="0.25">
      <c r="A13" s="15"/>
      <c r="B13" s="15">
        <v>54</v>
      </c>
      <c r="C13" s="24" t="s">
        <v>21</v>
      </c>
      <c r="D13" s="8"/>
      <c r="E13" s="9"/>
      <c r="F13" s="9"/>
      <c r="G13" s="9"/>
      <c r="H13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5"/>
  <sheetViews>
    <sheetView zoomScale="85" zoomScaleNormal="85" workbookViewId="0">
      <selection sqref="A1:F1"/>
    </sheetView>
  </sheetViews>
  <sheetFormatPr defaultRowHeight="15" x14ac:dyDescent="0.25"/>
  <cols>
    <col min="1" max="1" width="41.5703125" customWidth="1"/>
    <col min="2" max="6" width="25.28515625" customWidth="1"/>
  </cols>
  <sheetData>
    <row r="1" spans="1:6" ht="42" customHeight="1" x14ac:dyDescent="0.25">
      <c r="A1" s="257" t="s">
        <v>189</v>
      </c>
      <c r="B1" s="257"/>
      <c r="C1" s="257"/>
      <c r="D1" s="257"/>
      <c r="E1" s="257"/>
      <c r="F1" s="25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257" t="s">
        <v>17</v>
      </c>
      <c r="B3" s="257"/>
      <c r="C3" s="257"/>
      <c r="D3" s="257"/>
      <c r="E3" s="257"/>
      <c r="F3" s="257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257" t="s">
        <v>60</v>
      </c>
      <c r="B5" s="257"/>
      <c r="C5" s="257"/>
      <c r="D5" s="257"/>
      <c r="E5" s="257"/>
      <c r="F5" s="257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8" t="s">
        <v>51</v>
      </c>
      <c r="B7" s="18" t="s">
        <v>33</v>
      </c>
      <c r="C7" s="19" t="s">
        <v>34</v>
      </c>
      <c r="D7" s="19" t="s">
        <v>31</v>
      </c>
      <c r="E7" s="19" t="s">
        <v>25</v>
      </c>
      <c r="F7" s="19" t="s">
        <v>32</v>
      </c>
    </row>
    <row r="8" spans="1:6" x14ac:dyDescent="0.25">
      <c r="A8" s="11" t="s">
        <v>61</v>
      </c>
      <c r="B8" s="8"/>
      <c r="C8" s="9"/>
      <c r="D8" s="9"/>
      <c r="E8" s="9"/>
      <c r="F8" s="9"/>
    </row>
    <row r="9" spans="1:6" x14ac:dyDescent="0.25">
      <c r="A9" s="11" t="s">
        <v>174</v>
      </c>
      <c r="B9" s="8"/>
      <c r="C9" s="9"/>
      <c r="D9" s="9"/>
      <c r="E9" s="9"/>
      <c r="F9" s="9"/>
    </row>
    <row r="10" spans="1:6" x14ac:dyDescent="0.25">
      <c r="A10" s="216" t="s">
        <v>175</v>
      </c>
      <c r="B10" s="8">
        <f>26460/7.5345</f>
        <v>3511.845510651005</v>
      </c>
      <c r="C10" s="9">
        <v>0</v>
      </c>
      <c r="D10" s="9">
        <v>0</v>
      </c>
      <c r="E10" s="9">
        <v>0</v>
      </c>
      <c r="F10" s="9">
        <v>0</v>
      </c>
    </row>
    <row r="11" spans="1:6" x14ac:dyDescent="0.25">
      <c r="A11" s="11" t="s">
        <v>62</v>
      </c>
      <c r="B11" s="8"/>
      <c r="C11" s="9"/>
      <c r="D11" s="9"/>
      <c r="E11" s="9"/>
      <c r="F11" s="9"/>
    </row>
    <row r="12" spans="1:6" x14ac:dyDescent="0.25">
      <c r="A12" s="23" t="s">
        <v>56</v>
      </c>
      <c r="B12" s="8"/>
      <c r="C12" s="9"/>
      <c r="D12" s="9"/>
      <c r="E12" s="9"/>
      <c r="F12" s="9"/>
    </row>
    <row r="13" spans="1:6" x14ac:dyDescent="0.25">
      <c r="A13" s="13" t="s">
        <v>57</v>
      </c>
      <c r="B13" s="8"/>
      <c r="C13" s="9"/>
      <c r="D13" s="9"/>
      <c r="E13" s="9"/>
      <c r="F13" s="10"/>
    </row>
    <row r="14" spans="1:6" x14ac:dyDescent="0.25">
      <c r="A14" s="23" t="s">
        <v>58</v>
      </c>
      <c r="B14" s="8"/>
      <c r="C14" s="9"/>
      <c r="D14" s="9"/>
      <c r="E14" s="9"/>
      <c r="F14" s="10"/>
    </row>
    <row r="15" spans="1:6" x14ac:dyDescent="0.25">
      <c r="A15" s="13" t="s">
        <v>122</v>
      </c>
      <c r="B15" s="8">
        <f>26460/7.5345</f>
        <v>3511.845510651005</v>
      </c>
      <c r="C15" s="9">
        <v>0</v>
      </c>
      <c r="D15" s="9">
        <v>0</v>
      </c>
      <c r="E15" s="9">
        <v>0</v>
      </c>
      <c r="F15" s="10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3A025-3281-4B9B-9BC3-ECDFF5DFAA34}">
  <sheetPr>
    <pageSetUpPr fitToPage="1"/>
  </sheetPr>
  <dimension ref="A1:G61"/>
  <sheetViews>
    <sheetView zoomScaleNormal="100" workbookViewId="0">
      <selection activeCell="C17" sqref="C17"/>
    </sheetView>
  </sheetViews>
  <sheetFormatPr defaultColWidth="9.140625" defaultRowHeight="12.75" x14ac:dyDescent="0.25"/>
  <cols>
    <col min="1" max="1" width="15" style="146" customWidth="1"/>
    <col min="2" max="2" width="47.28515625" style="146" customWidth="1"/>
    <col min="3" max="3" width="15.42578125" style="146" customWidth="1"/>
    <col min="4" max="4" width="15.5703125" style="163" customWidth="1"/>
    <col min="5" max="5" width="13" style="146" customWidth="1"/>
    <col min="6" max="7" width="12.5703125" style="146" customWidth="1"/>
    <col min="8" max="16384" width="9.140625" style="146"/>
  </cols>
  <sheetData>
    <row r="1" spans="1:7" ht="48.75" customHeight="1" x14ac:dyDescent="0.25">
      <c r="A1" s="278" t="s">
        <v>131</v>
      </c>
      <c r="B1" s="279"/>
      <c r="C1" s="145"/>
    </row>
    <row r="2" spans="1:7" ht="47.25" customHeight="1" x14ac:dyDescent="0.25">
      <c r="A2" s="282" t="s">
        <v>30</v>
      </c>
      <c r="B2" s="282"/>
      <c r="C2" s="282"/>
      <c r="D2" s="282"/>
      <c r="E2" s="282"/>
      <c r="F2" s="282"/>
      <c r="G2" s="282"/>
    </row>
    <row r="3" spans="1:7" ht="48.75" hidden="1" customHeight="1" x14ac:dyDescent="0.25">
      <c r="A3" s="144"/>
      <c r="B3" s="145"/>
      <c r="C3" s="145"/>
    </row>
    <row r="4" spans="1:7" ht="15.75" customHeight="1" x14ac:dyDescent="0.25">
      <c r="A4" s="280" t="s">
        <v>134</v>
      </c>
      <c r="B4" s="281"/>
      <c r="C4" s="281"/>
      <c r="D4" s="281"/>
      <c r="E4" s="281"/>
      <c r="F4" s="281"/>
      <c r="G4" s="281"/>
    </row>
    <row r="5" spans="1:7" ht="24.75" customHeight="1" x14ac:dyDescent="0.25">
      <c r="A5" s="172" t="s">
        <v>18</v>
      </c>
      <c r="B5" s="18" t="s">
        <v>19</v>
      </c>
      <c r="C5" s="18" t="s">
        <v>33</v>
      </c>
      <c r="D5" s="19" t="s">
        <v>34</v>
      </c>
      <c r="E5" s="19" t="s">
        <v>31</v>
      </c>
      <c r="F5" s="19" t="s">
        <v>25</v>
      </c>
      <c r="G5" s="19" t="s">
        <v>32</v>
      </c>
    </row>
    <row r="6" spans="1:7" ht="24.75" customHeight="1" x14ac:dyDescent="0.25">
      <c r="A6" s="172"/>
      <c r="B6" s="18"/>
      <c r="C6" s="252"/>
      <c r="D6" s="251">
        <f>D8+D13+D17+D51+D58</f>
        <v>1808129.32</v>
      </c>
      <c r="E6" s="251">
        <f>E8+E12+E17+E51+E58</f>
        <v>1694843</v>
      </c>
      <c r="F6" s="251">
        <f t="shared" ref="F6:G6" si="0">F8+F12+F17+F51+F58</f>
        <v>1694843</v>
      </c>
      <c r="G6" s="251">
        <f t="shared" si="0"/>
        <v>1694843</v>
      </c>
    </row>
    <row r="7" spans="1:7" ht="24" customHeight="1" x14ac:dyDescent="0.25">
      <c r="A7" s="161" t="s">
        <v>92</v>
      </c>
      <c r="B7" s="173" t="s">
        <v>93</v>
      </c>
      <c r="C7" s="162"/>
      <c r="D7" s="164"/>
      <c r="E7" s="164"/>
      <c r="F7" s="164"/>
      <c r="G7" s="164"/>
    </row>
    <row r="8" spans="1:7" ht="11.25" customHeight="1" x14ac:dyDescent="0.25">
      <c r="A8" s="158" t="s">
        <v>135</v>
      </c>
      <c r="B8" s="157" t="s">
        <v>136</v>
      </c>
      <c r="C8" s="207">
        <v>452</v>
      </c>
      <c r="D8" s="165">
        <v>452.9</v>
      </c>
      <c r="E8" s="165">
        <v>650</v>
      </c>
      <c r="F8" s="165">
        <v>650</v>
      </c>
      <c r="G8" s="165">
        <v>650</v>
      </c>
    </row>
    <row r="9" spans="1:7" ht="11.25" customHeight="1" x14ac:dyDescent="0.25">
      <c r="A9" s="158"/>
      <c r="B9" s="157" t="s">
        <v>137</v>
      </c>
      <c r="C9" s="207">
        <v>452</v>
      </c>
      <c r="D9" s="165">
        <v>452.9</v>
      </c>
      <c r="E9" s="165">
        <v>650</v>
      </c>
      <c r="F9" s="165">
        <v>650</v>
      </c>
      <c r="G9" s="165">
        <v>650</v>
      </c>
    </row>
    <row r="10" spans="1:7" ht="11.25" customHeight="1" x14ac:dyDescent="0.25">
      <c r="A10" s="159">
        <v>3</v>
      </c>
      <c r="B10" s="157" t="s">
        <v>138</v>
      </c>
      <c r="C10" s="207">
        <v>452</v>
      </c>
      <c r="D10" s="165">
        <v>452.9</v>
      </c>
      <c r="E10" s="165">
        <v>650</v>
      </c>
      <c r="F10" s="165">
        <v>650</v>
      </c>
      <c r="G10" s="165">
        <v>650</v>
      </c>
    </row>
    <row r="11" spans="1:7" ht="13.5" customHeight="1" x14ac:dyDescent="0.25">
      <c r="A11" s="160">
        <v>32</v>
      </c>
      <c r="B11" s="244" t="s">
        <v>181</v>
      </c>
      <c r="C11" s="206">
        <v>452</v>
      </c>
      <c r="D11" s="166">
        <v>452.9</v>
      </c>
      <c r="E11" s="166">
        <v>650</v>
      </c>
      <c r="F11" s="166">
        <v>650</v>
      </c>
      <c r="G11" s="166">
        <v>650</v>
      </c>
    </row>
    <row r="12" spans="1:7" ht="28.5" customHeight="1" x14ac:dyDescent="0.25">
      <c r="A12" s="161" t="s">
        <v>140</v>
      </c>
      <c r="B12" s="173" t="s">
        <v>95</v>
      </c>
      <c r="C12" s="162"/>
      <c r="D12" s="164"/>
      <c r="E12" s="164">
        <v>1593</v>
      </c>
      <c r="F12" s="164">
        <v>1593</v>
      </c>
      <c r="G12" s="164">
        <v>1593</v>
      </c>
    </row>
    <row r="13" spans="1:7" ht="11.25" customHeight="1" x14ac:dyDescent="0.25">
      <c r="A13" s="158" t="s">
        <v>141</v>
      </c>
      <c r="B13" s="157" t="s">
        <v>142</v>
      </c>
      <c r="C13" s="207">
        <v>321</v>
      </c>
      <c r="D13" s="165">
        <v>1593</v>
      </c>
      <c r="E13" s="165">
        <v>1593</v>
      </c>
      <c r="F13" s="165">
        <v>1593</v>
      </c>
      <c r="G13" s="165">
        <v>1593</v>
      </c>
    </row>
    <row r="14" spans="1:7" ht="11.25" customHeight="1" x14ac:dyDescent="0.25">
      <c r="A14" s="158"/>
      <c r="B14" s="157" t="s">
        <v>137</v>
      </c>
      <c r="C14" s="207">
        <v>321</v>
      </c>
      <c r="D14" s="165">
        <v>1593</v>
      </c>
      <c r="E14" s="165">
        <v>1593</v>
      </c>
      <c r="F14" s="165">
        <v>1593</v>
      </c>
      <c r="G14" s="165">
        <v>1593</v>
      </c>
    </row>
    <row r="15" spans="1:7" ht="11.25" customHeight="1" x14ac:dyDescent="0.25">
      <c r="A15" s="159">
        <v>3</v>
      </c>
      <c r="B15" s="157" t="s">
        <v>138</v>
      </c>
      <c r="C15" s="207">
        <v>321</v>
      </c>
      <c r="D15" s="165">
        <v>1593</v>
      </c>
      <c r="E15" s="165">
        <v>1593</v>
      </c>
      <c r="F15" s="165">
        <v>1593</v>
      </c>
      <c r="G15" s="165">
        <v>1593</v>
      </c>
    </row>
    <row r="16" spans="1:7" ht="15" customHeight="1" x14ac:dyDescent="0.25">
      <c r="A16" s="160">
        <v>32</v>
      </c>
      <c r="B16" s="244" t="s">
        <v>180</v>
      </c>
      <c r="C16" s="206">
        <v>321</v>
      </c>
      <c r="D16" s="166">
        <v>1593</v>
      </c>
      <c r="E16" s="166">
        <v>1593</v>
      </c>
      <c r="F16" s="166">
        <v>1593</v>
      </c>
      <c r="G16" s="166">
        <v>1593</v>
      </c>
    </row>
    <row r="17" spans="1:7" ht="30.75" customHeight="1" x14ac:dyDescent="0.2">
      <c r="A17" s="161" t="s">
        <v>143</v>
      </c>
      <c r="B17" s="173" t="s">
        <v>157</v>
      </c>
      <c r="C17" s="228">
        <f>C18+C21+C25+C33+C35+C43+C48</f>
        <v>1283925.8999933638</v>
      </c>
      <c r="D17" s="219">
        <v>1616253.36</v>
      </c>
      <c r="E17" s="219">
        <f>E18+E21+E25+E32+E35+E43+E48</f>
        <v>1575807</v>
      </c>
      <c r="F17" s="219">
        <f>F18+F21+F25+F32+F35+F43+F48</f>
        <v>1575807</v>
      </c>
      <c r="G17" s="219">
        <f>G18+G21+G25+G32+G35+G43+G48</f>
        <v>1575807</v>
      </c>
    </row>
    <row r="18" spans="1:7" ht="11.25" customHeight="1" x14ac:dyDescent="0.25">
      <c r="A18" s="174" t="s">
        <v>158</v>
      </c>
      <c r="B18" s="175" t="s">
        <v>159</v>
      </c>
      <c r="C18" s="222">
        <f>105731/7.5345</f>
        <v>14032.915256486827</v>
      </c>
      <c r="D18" s="176">
        <v>39638.61</v>
      </c>
      <c r="E18" s="240">
        <v>7995</v>
      </c>
      <c r="F18" s="240">
        <v>7995</v>
      </c>
      <c r="G18" s="240">
        <v>7995</v>
      </c>
    </row>
    <row r="19" spans="1:7" ht="11.25" customHeight="1" x14ac:dyDescent="0.25">
      <c r="A19" s="177">
        <v>3</v>
      </c>
      <c r="B19" s="178" t="s">
        <v>160</v>
      </c>
      <c r="C19" s="208">
        <f>105731/7.5345</f>
        <v>14032.915256486827</v>
      </c>
      <c r="D19" s="179">
        <v>39638.61</v>
      </c>
      <c r="E19" s="182">
        <v>7995</v>
      </c>
      <c r="F19" s="182">
        <v>7995</v>
      </c>
      <c r="G19" s="182">
        <v>7995</v>
      </c>
    </row>
    <row r="20" spans="1:7" ht="11.25" customHeight="1" x14ac:dyDescent="0.25">
      <c r="A20" s="180">
        <v>32</v>
      </c>
      <c r="B20" s="245" t="s">
        <v>182</v>
      </c>
      <c r="C20" s="208">
        <f>105731/7.5345</f>
        <v>14032.915256486827</v>
      </c>
      <c r="D20" s="182">
        <v>39638.61</v>
      </c>
      <c r="E20" s="182">
        <v>7995</v>
      </c>
      <c r="F20" s="182">
        <v>7995</v>
      </c>
      <c r="G20" s="182">
        <v>7995</v>
      </c>
    </row>
    <row r="21" spans="1:7" ht="11.25" customHeight="1" x14ac:dyDescent="0.25">
      <c r="A21" s="174" t="s">
        <v>162</v>
      </c>
      <c r="B21" s="246" t="s">
        <v>183</v>
      </c>
      <c r="C21" s="221">
        <f>966250/7.5345</f>
        <v>128243.41363063242</v>
      </c>
      <c r="D21" s="176">
        <v>129376</v>
      </c>
      <c r="E21" s="176">
        <v>133258</v>
      </c>
      <c r="F21" s="176">
        <v>133258</v>
      </c>
      <c r="G21" s="176">
        <v>133258</v>
      </c>
    </row>
    <row r="22" spans="1:7" ht="11.25" customHeight="1" x14ac:dyDescent="0.25">
      <c r="A22" s="177">
        <v>3</v>
      </c>
      <c r="B22" s="178" t="s">
        <v>160</v>
      </c>
      <c r="C22" s="211">
        <v>128243</v>
      </c>
      <c r="D22" s="179">
        <v>129376</v>
      </c>
      <c r="E22" s="179">
        <f>SUM(E23:E24)</f>
        <v>133258</v>
      </c>
      <c r="F22" s="179">
        <f t="shared" ref="F22:G22" si="1">SUM(F23:F24)</f>
        <v>0</v>
      </c>
      <c r="G22" s="179">
        <f t="shared" si="1"/>
        <v>0</v>
      </c>
    </row>
    <row r="23" spans="1:7" ht="11.25" customHeight="1" x14ac:dyDescent="0.25">
      <c r="A23" s="180">
        <v>32</v>
      </c>
      <c r="B23" s="181" t="s">
        <v>161</v>
      </c>
      <c r="C23" s="208">
        <f>961706/7.5345</f>
        <v>127640.32118919636</v>
      </c>
      <c r="D23" s="182">
        <v>128812</v>
      </c>
      <c r="E23" s="182">
        <v>132658</v>
      </c>
      <c r="F23" s="182"/>
      <c r="G23" s="182"/>
    </row>
    <row r="24" spans="1:7" ht="11.25" customHeight="1" x14ac:dyDescent="0.25">
      <c r="A24" s="180">
        <v>34</v>
      </c>
      <c r="B24" s="181" t="s">
        <v>163</v>
      </c>
      <c r="C24" s="208">
        <f>4544/7.5345</f>
        <v>603.09244143606077</v>
      </c>
      <c r="D24" s="182">
        <v>564</v>
      </c>
      <c r="E24" s="182">
        <v>600</v>
      </c>
      <c r="F24" s="182"/>
      <c r="G24" s="182"/>
    </row>
    <row r="25" spans="1:7" ht="11.25" customHeight="1" x14ac:dyDescent="0.25">
      <c r="A25" s="183" t="s">
        <v>164</v>
      </c>
      <c r="B25" s="184" t="s">
        <v>165</v>
      </c>
      <c r="C25" s="227">
        <f>C30+C27</f>
        <v>7486.2300086269825</v>
      </c>
      <c r="D25" s="185">
        <v>24365</v>
      </c>
      <c r="E25" s="185">
        <v>8503</v>
      </c>
      <c r="F25" s="185">
        <v>8503</v>
      </c>
      <c r="G25" s="185">
        <v>8503</v>
      </c>
    </row>
    <row r="26" spans="1:7" ht="11.25" customHeight="1" x14ac:dyDescent="0.25">
      <c r="A26" s="177">
        <v>3</v>
      </c>
      <c r="B26" s="178" t="s">
        <v>160</v>
      </c>
      <c r="C26" s="211">
        <v>2293</v>
      </c>
      <c r="D26" s="179">
        <v>19361</v>
      </c>
      <c r="E26" s="179">
        <v>6319</v>
      </c>
      <c r="F26" s="179">
        <v>6319</v>
      </c>
      <c r="G26" s="179">
        <v>6319</v>
      </c>
    </row>
    <row r="27" spans="1:7" ht="11.25" customHeight="1" x14ac:dyDescent="0.25">
      <c r="A27" s="180">
        <v>32</v>
      </c>
      <c r="B27" s="181" t="s">
        <v>161</v>
      </c>
      <c r="C27" s="208">
        <f>17274/7.5345</f>
        <v>2292.6537925542502</v>
      </c>
      <c r="D27" s="182">
        <v>18911</v>
      </c>
      <c r="E27" s="182">
        <v>5969</v>
      </c>
      <c r="F27" s="182">
        <v>5969</v>
      </c>
      <c r="G27" s="182">
        <v>5969</v>
      </c>
    </row>
    <row r="28" spans="1:7" ht="11.25" customHeight="1" x14ac:dyDescent="0.25">
      <c r="A28" s="180">
        <v>34</v>
      </c>
      <c r="B28" s="181" t="s">
        <v>163</v>
      </c>
      <c r="C28" s="208">
        <f>1/7.5345</f>
        <v>0.13272280841462605</v>
      </c>
      <c r="D28" s="182">
        <v>50</v>
      </c>
      <c r="E28" s="182">
        <v>50</v>
      </c>
      <c r="F28" s="182">
        <v>50</v>
      </c>
      <c r="G28" s="182">
        <v>50</v>
      </c>
    </row>
    <row r="29" spans="1:7" ht="11.25" customHeight="1" x14ac:dyDescent="0.25">
      <c r="A29" s="180">
        <v>37</v>
      </c>
      <c r="B29" s="181" t="s">
        <v>166</v>
      </c>
      <c r="C29" s="208">
        <v>0</v>
      </c>
      <c r="D29" s="182">
        <v>400</v>
      </c>
      <c r="E29" s="182">
        <v>300</v>
      </c>
      <c r="F29" s="182">
        <v>300</v>
      </c>
      <c r="G29" s="182">
        <v>300</v>
      </c>
    </row>
    <row r="30" spans="1:7" ht="11.25" customHeight="1" x14ac:dyDescent="0.25">
      <c r="A30" s="177">
        <v>4</v>
      </c>
      <c r="B30" s="178" t="s">
        <v>167</v>
      </c>
      <c r="C30" s="211">
        <f>C31</f>
        <v>5193.5762160727318</v>
      </c>
      <c r="D30" s="179">
        <v>5004</v>
      </c>
      <c r="E30" s="179">
        <v>2184</v>
      </c>
      <c r="F30" s="179">
        <v>2184</v>
      </c>
      <c r="G30" s="179">
        <v>2184</v>
      </c>
    </row>
    <row r="31" spans="1:7" ht="11.25" customHeight="1" x14ac:dyDescent="0.25">
      <c r="A31" s="180">
        <v>42</v>
      </c>
      <c r="B31" s="181" t="s">
        <v>168</v>
      </c>
      <c r="C31" s="208">
        <f>39131/7.5345</f>
        <v>5193.5762160727318</v>
      </c>
      <c r="D31" s="182">
        <v>5004</v>
      </c>
      <c r="E31" s="182">
        <v>2184</v>
      </c>
      <c r="F31" s="182">
        <v>2184</v>
      </c>
      <c r="G31" s="182">
        <v>2184</v>
      </c>
    </row>
    <row r="32" spans="1:7" ht="11.25" customHeight="1" x14ac:dyDescent="0.25">
      <c r="A32" s="186" t="s">
        <v>169</v>
      </c>
      <c r="B32" s="187" t="s">
        <v>170</v>
      </c>
      <c r="C32" s="209">
        <v>4940</v>
      </c>
      <c r="D32" s="188">
        <v>5996</v>
      </c>
      <c r="E32" s="188">
        <v>5880</v>
      </c>
      <c r="F32" s="188">
        <v>5880</v>
      </c>
      <c r="G32" s="188">
        <v>5880</v>
      </c>
    </row>
    <row r="33" spans="1:7" ht="11.25" customHeight="1" x14ac:dyDescent="0.25">
      <c r="A33" s="177">
        <v>3</v>
      </c>
      <c r="B33" s="178" t="s">
        <v>160</v>
      </c>
      <c r="C33" s="208">
        <f>37223/7.5345</f>
        <v>4940.3410976176256</v>
      </c>
      <c r="D33" s="179">
        <v>5996</v>
      </c>
      <c r="E33" s="179">
        <v>5880</v>
      </c>
      <c r="F33" s="179">
        <v>5880</v>
      </c>
      <c r="G33" s="179">
        <v>5880</v>
      </c>
    </row>
    <row r="34" spans="1:7" ht="11.25" customHeight="1" x14ac:dyDescent="0.25">
      <c r="A34" s="180">
        <v>32</v>
      </c>
      <c r="B34" s="181" t="s">
        <v>161</v>
      </c>
      <c r="C34" s="208">
        <v>4940</v>
      </c>
      <c r="D34" s="182">
        <v>5996</v>
      </c>
      <c r="E34" s="182">
        <v>5880</v>
      </c>
      <c r="F34" s="182">
        <v>5880</v>
      </c>
      <c r="G34" s="182">
        <v>5880</v>
      </c>
    </row>
    <row r="35" spans="1:7" ht="11.25" customHeight="1" x14ac:dyDescent="0.25">
      <c r="A35" s="189" t="s">
        <v>171</v>
      </c>
      <c r="B35" s="190" t="s">
        <v>172</v>
      </c>
      <c r="C35" s="225">
        <v>1126909</v>
      </c>
      <c r="D35" s="191">
        <v>1414340.75</v>
      </c>
      <c r="E35" s="191">
        <v>1417703</v>
      </c>
      <c r="F35" s="191">
        <v>1417703</v>
      </c>
      <c r="G35" s="191">
        <v>1417703</v>
      </c>
    </row>
    <row r="36" spans="1:7" ht="16.5" customHeight="1" x14ac:dyDescent="0.25">
      <c r="A36" s="177">
        <v>3</v>
      </c>
      <c r="B36" s="178" t="s">
        <v>160</v>
      </c>
      <c r="C36" s="211">
        <f>C37+C38+C39</f>
        <v>1126057.3362532351</v>
      </c>
      <c r="D36" s="179">
        <v>1414340.75</v>
      </c>
      <c r="E36" s="179">
        <v>1417703</v>
      </c>
      <c r="F36" s="179">
        <v>1417703</v>
      </c>
      <c r="G36" s="179">
        <v>1417703</v>
      </c>
    </row>
    <row r="37" spans="1:7" ht="15.75" customHeight="1" x14ac:dyDescent="0.25">
      <c r="A37" s="192">
        <v>31</v>
      </c>
      <c r="B37" s="193" t="s">
        <v>11</v>
      </c>
      <c r="C37" s="208">
        <f>8349672/7.5345</f>
        <v>1108191.9171809675</v>
      </c>
      <c r="D37" s="194">
        <v>1399125</v>
      </c>
      <c r="E37" s="194">
        <v>1406302</v>
      </c>
      <c r="F37" s="194">
        <v>1399125</v>
      </c>
      <c r="G37" s="194">
        <v>1399125</v>
      </c>
    </row>
    <row r="38" spans="1:7" x14ac:dyDescent="0.25">
      <c r="A38" s="192">
        <v>32</v>
      </c>
      <c r="B38" s="193" t="s">
        <v>20</v>
      </c>
      <c r="C38" s="208">
        <f>104382/7.5345</f>
        <v>13853.872187935496</v>
      </c>
      <c r="D38" s="194">
        <v>13985.75</v>
      </c>
      <c r="E38" s="194">
        <v>11071</v>
      </c>
      <c r="F38" s="194">
        <v>11071</v>
      </c>
      <c r="G38" s="194">
        <v>11071</v>
      </c>
    </row>
    <row r="39" spans="1:7" x14ac:dyDescent="0.25">
      <c r="A39" s="192">
        <v>34</v>
      </c>
      <c r="B39" s="195" t="s">
        <v>73</v>
      </c>
      <c r="C39" s="208">
        <f>30225/7.5345</f>
        <v>4011.5468843320723</v>
      </c>
      <c r="D39" s="196">
        <v>1000</v>
      </c>
      <c r="E39" s="196">
        <v>100</v>
      </c>
      <c r="F39" s="196">
        <v>100</v>
      </c>
      <c r="G39" s="196">
        <v>100</v>
      </c>
    </row>
    <row r="40" spans="1:7" x14ac:dyDescent="0.25">
      <c r="A40" s="192">
        <v>38</v>
      </c>
      <c r="B40" s="197" t="s">
        <v>75</v>
      </c>
      <c r="C40" s="208"/>
      <c r="D40" s="196">
        <v>230</v>
      </c>
      <c r="E40" s="196">
        <v>230</v>
      </c>
      <c r="F40" s="196">
        <v>230</v>
      </c>
      <c r="G40" s="196">
        <v>230</v>
      </c>
    </row>
    <row r="41" spans="1:7" x14ac:dyDescent="0.25">
      <c r="A41" s="153">
        <v>4</v>
      </c>
      <c r="B41" s="153" t="s">
        <v>12</v>
      </c>
      <c r="C41" s="211">
        <v>852</v>
      </c>
      <c r="D41" s="196"/>
      <c r="E41" s="196"/>
      <c r="F41" s="196"/>
      <c r="G41" s="196"/>
    </row>
    <row r="42" spans="1:7" x14ac:dyDescent="0.25">
      <c r="A42" s="151">
        <v>42</v>
      </c>
      <c r="B42" s="151" t="s">
        <v>28</v>
      </c>
      <c r="C42" s="208">
        <v>852</v>
      </c>
      <c r="D42" s="196">
        <v>0</v>
      </c>
      <c r="E42" s="196">
        <v>0</v>
      </c>
      <c r="F42" s="196"/>
      <c r="G42" s="196">
        <v>0</v>
      </c>
    </row>
    <row r="43" spans="1:7" x14ac:dyDescent="0.25">
      <c r="A43" s="198" t="s">
        <v>144</v>
      </c>
      <c r="B43" s="199" t="s">
        <v>145</v>
      </c>
      <c r="C43" s="226">
        <v>2013</v>
      </c>
      <c r="D43" s="200">
        <v>1858</v>
      </c>
      <c r="E43" s="200">
        <v>1858</v>
      </c>
      <c r="F43" s="200">
        <v>1858</v>
      </c>
      <c r="G43" s="200">
        <v>1858</v>
      </c>
    </row>
    <row r="44" spans="1:7" x14ac:dyDescent="0.25">
      <c r="A44" s="198">
        <v>3</v>
      </c>
      <c r="B44" s="199" t="s">
        <v>10</v>
      </c>
      <c r="C44" s="210">
        <v>2013</v>
      </c>
      <c r="D44" s="200">
        <v>1076</v>
      </c>
      <c r="E44" s="200">
        <v>1076</v>
      </c>
      <c r="F44" s="200">
        <v>1076</v>
      </c>
      <c r="G44" s="200">
        <v>1076</v>
      </c>
    </row>
    <row r="45" spans="1:7" x14ac:dyDescent="0.25">
      <c r="A45" s="192">
        <v>32</v>
      </c>
      <c r="B45" s="192" t="s">
        <v>146</v>
      </c>
      <c r="C45" s="208">
        <v>0</v>
      </c>
      <c r="D45" s="196">
        <v>1076</v>
      </c>
      <c r="E45" s="196">
        <v>1076</v>
      </c>
      <c r="F45" s="196">
        <v>1076</v>
      </c>
      <c r="G45" s="196">
        <v>1076</v>
      </c>
    </row>
    <row r="46" spans="1:7" x14ac:dyDescent="0.25">
      <c r="A46" s="201">
        <v>4</v>
      </c>
      <c r="B46" s="201" t="s">
        <v>12</v>
      </c>
      <c r="C46" s="211">
        <v>2013</v>
      </c>
      <c r="D46" s="196">
        <v>782</v>
      </c>
      <c r="E46" s="196">
        <v>782</v>
      </c>
      <c r="F46" s="196">
        <v>782</v>
      </c>
      <c r="G46" s="196">
        <v>782</v>
      </c>
    </row>
    <row r="47" spans="1:7" x14ac:dyDescent="0.25">
      <c r="A47" s="192">
        <v>42</v>
      </c>
      <c r="B47" s="192" t="s">
        <v>28</v>
      </c>
      <c r="C47" s="208">
        <f>15164/7.5345</f>
        <v>2012.6086667993893</v>
      </c>
      <c r="D47" s="196">
        <v>782</v>
      </c>
      <c r="E47" s="196">
        <v>782</v>
      </c>
      <c r="F47" s="196">
        <v>782</v>
      </c>
      <c r="G47" s="196">
        <v>782</v>
      </c>
    </row>
    <row r="48" spans="1:7" x14ac:dyDescent="0.25">
      <c r="A48" s="202" t="s">
        <v>147</v>
      </c>
      <c r="B48" s="203" t="s">
        <v>148</v>
      </c>
      <c r="C48" s="223">
        <v>301</v>
      </c>
      <c r="D48" s="204">
        <v>679</v>
      </c>
      <c r="E48" s="204">
        <v>610</v>
      </c>
      <c r="F48" s="204">
        <v>610</v>
      </c>
      <c r="G48" s="204">
        <v>610</v>
      </c>
    </row>
    <row r="49" spans="1:7" x14ac:dyDescent="0.25">
      <c r="A49" s="201">
        <v>4</v>
      </c>
      <c r="B49" s="201" t="s">
        <v>12</v>
      </c>
      <c r="C49" s="211">
        <v>301</v>
      </c>
      <c r="D49" s="196">
        <v>679</v>
      </c>
      <c r="E49" s="196">
        <v>610</v>
      </c>
      <c r="F49" s="196">
        <v>610</v>
      </c>
      <c r="G49" s="196">
        <v>610</v>
      </c>
    </row>
    <row r="50" spans="1:7" x14ac:dyDescent="0.25">
      <c r="A50" s="192">
        <v>42</v>
      </c>
      <c r="B50" s="192" t="s">
        <v>28</v>
      </c>
      <c r="C50" s="208">
        <f>2266/7.5345</f>
        <v>300.74988386754262</v>
      </c>
      <c r="D50" s="205">
        <v>679</v>
      </c>
      <c r="E50" s="243">
        <v>610</v>
      </c>
      <c r="F50" s="243">
        <v>610</v>
      </c>
      <c r="G50" s="243">
        <v>610</v>
      </c>
    </row>
    <row r="51" spans="1:7" ht="32.25" customHeight="1" x14ac:dyDescent="0.25">
      <c r="A51" s="161" t="s">
        <v>149</v>
      </c>
      <c r="B51" s="173" t="s">
        <v>150</v>
      </c>
      <c r="C51" s="223">
        <f>938982/7.5345</f>
        <v>124624.32809078239</v>
      </c>
      <c r="D51" s="164">
        <v>171210.06</v>
      </c>
      <c r="E51" s="164">
        <v>92050</v>
      </c>
      <c r="F51" s="164">
        <v>92050</v>
      </c>
      <c r="G51" s="164">
        <v>92050</v>
      </c>
    </row>
    <row r="52" spans="1:7" x14ac:dyDescent="0.25">
      <c r="A52" s="154" t="s">
        <v>151</v>
      </c>
      <c r="B52" s="147" t="s">
        <v>136</v>
      </c>
      <c r="C52" s="211">
        <f>C53+C56+C57</f>
        <v>120815.70621806355</v>
      </c>
      <c r="D52" s="167">
        <v>171210.06</v>
      </c>
      <c r="E52" s="167">
        <f>E53+E55</f>
        <v>92050</v>
      </c>
      <c r="F52" s="167">
        <f t="shared" ref="F52:G52" si="2">F53+F55</f>
        <v>92050</v>
      </c>
      <c r="G52" s="167">
        <f t="shared" si="2"/>
        <v>92050</v>
      </c>
    </row>
    <row r="53" spans="1:7" x14ac:dyDescent="0.25">
      <c r="A53" s="148">
        <v>3</v>
      </c>
      <c r="B53" s="147" t="s">
        <v>138</v>
      </c>
      <c r="C53" s="211">
        <v>53433</v>
      </c>
      <c r="D53" s="167">
        <v>72645</v>
      </c>
      <c r="E53" s="167">
        <v>26550</v>
      </c>
      <c r="F53" s="167">
        <v>26550</v>
      </c>
      <c r="G53" s="167">
        <v>26550</v>
      </c>
    </row>
    <row r="54" spans="1:7" x14ac:dyDescent="0.25">
      <c r="A54" s="149">
        <v>32</v>
      </c>
      <c r="B54" s="150" t="s">
        <v>139</v>
      </c>
      <c r="C54" s="208">
        <f>402593/7.5345</f>
        <v>53433.273608069547</v>
      </c>
      <c r="D54" s="168">
        <v>72645</v>
      </c>
      <c r="E54" s="168">
        <v>26550</v>
      </c>
      <c r="F54" s="168">
        <v>26550</v>
      </c>
      <c r="G54" s="168">
        <v>26550</v>
      </c>
    </row>
    <row r="55" spans="1:7" x14ac:dyDescent="0.25">
      <c r="A55" s="153">
        <v>4</v>
      </c>
      <c r="B55" s="153" t="s">
        <v>12</v>
      </c>
      <c r="C55" s="211">
        <f>C56+C57</f>
        <v>67382.706218063569</v>
      </c>
      <c r="D55" s="169">
        <v>98565.06</v>
      </c>
      <c r="E55" s="169">
        <v>65500</v>
      </c>
      <c r="F55" s="169">
        <v>65500</v>
      </c>
      <c r="G55" s="169">
        <v>65500</v>
      </c>
    </row>
    <row r="56" spans="1:7" x14ac:dyDescent="0.25">
      <c r="A56" s="151">
        <v>42</v>
      </c>
      <c r="B56" s="151" t="s">
        <v>28</v>
      </c>
      <c r="C56" s="208">
        <f>483297/7.5345</f>
        <v>64144.535138363521</v>
      </c>
      <c r="D56" s="170">
        <v>91750</v>
      </c>
      <c r="E56" s="170">
        <v>65500</v>
      </c>
      <c r="F56" s="170">
        <v>65500</v>
      </c>
      <c r="G56" s="170">
        <v>65500</v>
      </c>
    </row>
    <row r="57" spans="1:7" x14ac:dyDescent="0.25">
      <c r="A57" s="151">
        <v>45</v>
      </c>
      <c r="B57" s="151" t="s">
        <v>152</v>
      </c>
      <c r="C57" s="208">
        <f>24398/7.5345</f>
        <v>3238.1710797000464</v>
      </c>
      <c r="D57" s="171">
        <v>6815.06</v>
      </c>
      <c r="E57" s="171">
        <v>0</v>
      </c>
      <c r="F57" s="171">
        <v>0</v>
      </c>
      <c r="G57" s="171">
        <v>0</v>
      </c>
    </row>
    <row r="58" spans="1:7" ht="24.75" customHeight="1" x14ac:dyDescent="0.2">
      <c r="A58" s="161" t="s">
        <v>153</v>
      </c>
      <c r="B58" s="173" t="s">
        <v>154</v>
      </c>
      <c r="C58" s="224">
        <v>16965</v>
      </c>
      <c r="D58" s="220">
        <v>18620</v>
      </c>
      <c r="E58" s="220">
        <v>24743</v>
      </c>
      <c r="F58" s="220">
        <v>24743</v>
      </c>
      <c r="G58" s="220">
        <v>24743</v>
      </c>
    </row>
    <row r="59" spans="1:7" ht="25.5" x14ac:dyDescent="0.25">
      <c r="A59" s="154" t="s">
        <v>155</v>
      </c>
      <c r="B59" s="155" t="s">
        <v>156</v>
      </c>
      <c r="C59" s="211">
        <f>C61+C60</f>
        <v>16964.894817174332</v>
      </c>
      <c r="D59" s="165">
        <v>18620</v>
      </c>
      <c r="E59" s="165">
        <v>24743</v>
      </c>
      <c r="F59" s="165">
        <v>24743</v>
      </c>
      <c r="G59" s="165">
        <v>24743</v>
      </c>
    </row>
    <row r="60" spans="1:7" x14ac:dyDescent="0.25">
      <c r="A60" s="156">
        <v>31</v>
      </c>
      <c r="B60" s="152" t="s">
        <v>11</v>
      </c>
      <c r="C60" s="208">
        <f>122222/7.5345</f>
        <v>16221.647090052425</v>
      </c>
      <c r="D60" s="171">
        <v>17568</v>
      </c>
      <c r="E60" s="171">
        <v>23177</v>
      </c>
      <c r="F60" s="171">
        <v>23177</v>
      </c>
      <c r="G60" s="171">
        <v>23177</v>
      </c>
    </row>
    <row r="61" spans="1:7" x14ac:dyDescent="0.25">
      <c r="A61" s="156">
        <v>32</v>
      </c>
      <c r="B61" s="152" t="s">
        <v>20</v>
      </c>
      <c r="C61" s="208">
        <f>5600/7.5345</f>
        <v>743.24772712190588</v>
      </c>
      <c r="D61" s="171">
        <v>1052</v>
      </c>
      <c r="E61" s="171">
        <v>1566</v>
      </c>
      <c r="F61" s="171">
        <v>1566</v>
      </c>
      <c r="G61" s="171">
        <v>1566</v>
      </c>
    </row>
  </sheetData>
  <mergeCells count="3">
    <mergeCell ref="A1:B1"/>
    <mergeCell ref="A4:G4"/>
    <mergeCell ref="A2:G2"/>
  </mergeCells>
  <phoneticPr fontId="23" type="noConversion"/>
  <pageMargins left="0.31496062992125984" right="0" top="0.19685039370078741" bottom="0" header="0.31496062992125984" footer="0.31496062992125984"/>
  <pageSetup paperSize="9" scale="70" fitToHeight="0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4"/>
  <sheetViews>
    <sheetView tabSelected="1" workbookViewId="0">
      <selection activeCell="M12" sqref="M9:M12"/>
    </sheetView>
  </sheetViews>
  <sheetFormatPr defaultRowHeight="15" x14ac:dyDescent="0.25"/>
  <cols>
    <col min="2" max="2" width="12.7109375" customWidth="1"/>
    <col min="3" max="3" width="26" customWidth="1"/>
    <col min="4" max="4" width="17.28515625" customWidth="1"/>
    <col min="5" max="5" width="13" customWidth="1"/>
  </cols>
  <sheetData>
    <row r="1" spans="1:5" x14ac:dyDescent="0.25">
      <c r="A1" s="283" t="s">
        <v>98</v>
      </c>
      <c r="B1" s="283"/>
      <c r="C1" s="283"/>
      <c r="D1" s="283"/>
      <c r="E1" s="283"/>
    </row>
    <row r="2" spans="1:5" x14ac:dyDescent="0.25">
      <c r="A2" t="s">
        <v>99</v>
      </c>
      <c r="B2" t="s">
        <v>22</v>
      </c>
      <c r="C2">
        <v>2024</v>
      </c>
    </row>
    <row r="3" spans="1:5" x14ac:dyDescent="0.25">
      <c r="A3" s="105">
        <v>1</v>
      </c>
      <c r="B3" s="106" t="s">
        <v>94</v>
      </c>
      <c r="C3" s="105"/>
    </row>
    <row r="4" spans="1:5" x14ac:dyDescent="0.25">
      <c r="A4" s="105" t="s">
        <v>100</v>
      </c>
      <c r="B4" s="105" t="s">
        <v>101</v>
      </c>
      <c r="C4" s="107">
        <v>233953</v>
      </c>
    </row>
    <row r="5" spans="1:5" x14ac:dyDescent="0.25">
      <c r="A5" s="105"/>
      <c r="B5" s="105" t="s">
        <v>102</v>
      </c>
      <c r="C5" s="107">
        <v>233953</v>
      </c>
    </row>
    <row r="6" spans="1:5" x14ac:dyDescent="0.25">
      <c r="B6" t="s">
        <v>103</v>
      </c>
    </row>
    <row r="7" spans="1:5" x14ac:dyDescent="0.25">
      <c r="A7" s="108">
        <v>2</v>
      </c>
      <c r="B7" s="109" t="s">
        <v>104</v>
      </c>
      <c r="C7" s="108"/>
    </row>
    <row r="8" spans="1:5" x14ac:dyDescent="0.25">
      <c r="A8" s="108" t="s">
        <v>105</v>
      </c>
      <c r="B8" s="108" t="s">
        <v>101</v>
      </c>
      <c r="C8" s="110">
        <v>7176</v>
      </c>
      <c r="D8" s="111"/>
      <c r="E8" s="111"/>
    </row>
    <row r="9" spans="1:5" x14ac:dyDescent="0.25">
      <c r="A9" s="108"/>
      <c r="B9" s="108" t="s">
        <v>102</v>
      </c>
      <c r="C9" s="110">
        <v>8503</v>
      </c>
      <c r="D9" s="111"/>
      <c r="E9" s="111"/>
    </row>
    <row r="10" spans="1:5" x14ac:dyDescent="0.25">
      <c r="A10" s="126"/>
      <c r="B10" s="126" t="s">
        <v>116</v>
      </c>
      <c r="C10" s="127">
        <v>1327</v>
      </c>
      <c r="D10" s="111"/>
      <c r="E10" s="111"/>
    </row>
    <row r="11" spans="1:5" x14ac:dyDescent="0.25">
      <c r="A11" s="112">
        <v>3</v>
      </c>
      <c r="B11" s="113" t="s">
        <v>106</v>
      </c>
      <c r="C11" s="114"/>
      <c r="D11" s="111"/>
      <c r="E11" s="111"/>
    </row>
    <row r="12" spans="1:5" x14ac:dyDescent="0.25">
      <c r="A12" s="112" t="s">
        <v>107</v>
      </c>
      <c r="B12" s="112" t="s">
        <v>101</v>
      </c>
      <c r="C12" s="114">
        <v>5880</v>
      </c>
      <c r="D12" s="111"/>
      <c r="E12" s="111"/>
    </row>
    <row r="13" spans="1:5" x14ac:dyDescent="0.25">
      <c r="A13" s="112"/>
      <c r="B13" s="112" t="s">
        <v>102</v>
      </c>
      <c r="C13" s="114">
        <v>5880</v>
      </c>
      <c r="D13" s="111"/>
      <c r="E13" s="111"/>
    </row>
    <row r="14" spans="1:5" x14ac:dyDescent="0.25">
      <c r="A14" s="115">
        <v>4</v>
      </c>
      <c r="B14" s="116" t="s">
        <v>97</v>
      </c>
      <c r="C14" s="117"/>
      <c r="D14" s="111"/>
      <c r="E14" s="111"/>
    </row>
    <row r="15" spans="1:5" x14ac:dyDescent="0.25">
      <c r="A15" s="115" t="s">
        <v>108</v>
      </c>
      <c r="B15" s="115" t="s">
        <v>101</v>
      </c>
      <c r="C15" s="117">
        <v>1417703</v>
      </c>
      <c r="D15" s="111"/>
      <c r="E15" s="111"/>
    </row>
    <row r="16" spans="1:5" x14ac:dyDescent="0.25">
      <c r="A16" s="115"/>
      <c r="B16" s="115" t="s">
        <v>102</v>
      </c>
      <c r="C16" s="117">
        <v>1417703</v>
      </c>
      <c r="D16" s="111"/>
      <c r="E16" s="111"/>
    </row>
    <row r="17" spans="1:5" x14ac:dyDescent="0.25">
      <c r="A17" s="118"/>
      <c r="B17" s="106" t="s">
        <v>109</v>
      </c>
      <c r="C17" s="119"/>
      <c r="D17" s="111"/>
      <c r="E17" s="111"/>
    </row>
    <row r="18" spans="1:5" x14ac:dyDescent="0.25">
      <c r="A18" s="118" t="s">
        <v>110</v>
      </c>
      <c r="B18" s="105" t="s">
        <v>101</v>
      </c>
      <c r="C18" s="119">
        <v>24743</v>
      </c>
      <c r="D18" s="111"/>
      <c r="E18" s="111"/>
    </row>
    <row r="19" spans="1:5" x14ac:dyDescent="0.25">
      <c r="A19" s="118"/>
      <c r="B19" s="105" t="s">
        <v>102</v>
      </c>
      <c r="C19" s="119">
        <v>24743</v>
      </c>
      <c r="D19" s="111"/>
      <c r="E19" s="111"/>
    </row>
    <row r="20" spans="1:5" x14ac:dyDescent="0.25">
      <c r="A20" s="118" t="s">
        <v>96</v>
      </c>
      <c r="B20" s="106" t="s">
        <v>111</v>
      </c>
      <c r="C20" s="119">
        <v>1593</v>
      </c>
      <c r="D20" s="111"/>
      <c r="E20" s="111"/>
    </row>
    <row r="21" spans="1:5" x14ac:dyDescent="0.25">
      <c r="A21" s="118"/>
      <c r="B21" s="105" t="s">
        <v>101</v>
      </c>
      <c r="C21" s="119">
        <v>1593</v>
      </c>
      <c r="D21" s="111"/>
      <c r="E21" s="111"/>
    </row>
    <row r="22" spans="1:5" x14ac:dyDescent="0.25">
      <c r="A22" s="118"/>
      <c r="B22" s="105" t="s">
        <v>102</v>
      </c>
      <c r="C22" s="119">
        <v>1593</v>
      </c>
      <c r="D22" s="111"/>
      <c r="E22" s="111"/>
    </row>
    <row r="23" spans="1:5" x14ac:dyDescent="0.25">
      <c r="A23" s="120" t="s">
        <v>112</v>
      </c>
      <c r="B23" s="121" t="s">
        <v>113</v>
      </c>
      <c r="C23" s="122"/>
      <c r="D23" s="111"/>
      <c r="E23" s="111"/>
    </row>
    <row r="24" spans="1:5" x14ac:dyDescent="0.25">
      <c r="A24" s="120">
        <v>5</v>
      </c>
      <c r="B24" s="120" t="s">
        <v>101</v>
      </c>
      <c r="C24" s="122">
        <v>1858</v>
      </c>
      <c r="D24" s="111"/>
      <c r="E24" s="111"/>
    </row>
    <row r="25" spans="1:5" x14ac:dyDescent="0.25">
      <c r="A25" s="120"/>
      <c r="B25" s="120" t="s">
        <v>102</v>
      </c>
      <c r="C25" s="122">
        <v>1858</v>
      </c>
      <c r="D25" s="111"/>
      <c r="E25" s="111"/>
    </row>
    <row r="26" spans="1:5" x14ac:dyDescent="0.25">
      <c r="A26" s="123">
        <v>6</v>
      </c>
      <c r="B26" s="124" t="s">
        <v>114</v>
      </c>
      <c r="C26" s="125"/>
      <c r="D26" s="111"/>
      <c r="E26" s="111"/>
    </row>
    <row r="27" spans="1:5" x14ac:dyDescent="0.25">
      <c r="A27" s="123" t="s">
        <v>115</v>
      </c>
      <c r="B27" s="123" t="s">
        <v>101</v>
      </c>
      <c r="C27" s="125">
        <v>80</v>
      </c>
      <c r="D27" s="111"/>
      <c r="E27" s="111"/>
    </row>
    <row r="28" spans="1:5" x14ac:dyDescent="0.25">
      <c r="A28" s="123"/>
      <c r="B28" s="123" t="s">
        <v>102</v>
      </c>
      <c r="C28" s="125">
        <v>610</v>
      </c>
      <c r="D28" s="111"/>
      <c r="E28" s="111"/>
    </row>
    <row r="29" spans="1:5" x14ac:dyDescent="0.25">
      <c r="A29" s="126"/>
      <c r="B29" s="126" t="s">
        <v>116</v>
      </c>
      <c r="C29" s="127">
        <v>530</v>
      </c>
      <c r="D29" s="111"/>
      <c r="E29" s="111"/>
    </row>
    <row r="30" spans="1:5" x14ac:dyDescent="0.25">
      <c r="C30" s="111"/>
      <c r="D30" s="111"/>
      <c r="E30" s="111"/>
    </row>
    <row r="31" spans="1:5" x14ac:dyDescent="0.25">
      <c r="B31" t="s">
        <v>117</v>
      </c>
      <c r="C31" s="111">
        <f>C4+C8+C12+C15+C24+C27+C18+C20</f>
        <v>1692986</v>
      </c>
      <c r="D31" s="111"/>
      <c r="E31" s="111"/>
    </row>
    <row r="32" spans="1:5" x14ac:dyDescent="0.25">
      <c r="B32" t="s">
        <v>179</v>
      </c>
      <c r="C32" s="111">
        <v>1857</v>
      </c>
      <c r="D32" s="111"/>
      <c r="E32" s="111"/>
    </row>
    <row r="33" spans="2:5" x14ac:dyDescent="0.25">
      <c r="C33" s="128">
        <v>1694843</v>
      </c>
      <c r="D33" s="111"/>
      <c r="E33" s="111"/>
    </row>
    <row r="34" spans="2:5" x14ac:dyDescent="0.25">
      <c r="B34" t="s">
        <v>118</v>
      </c>
      <c r="C34" s="128">
        <f>C5+C9+C13+C16+C19+C22+C25+C28</f>
        <v>1694843</v>
      </c>
      <c r="D34" s="111"/>
      <c r="E34" s="11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 2.</vt:lpstr>
      <vt:lpstr>kontrola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2023-10-05T09:43:44Z</cp:lastPrinted>
  <dcterms:created xsi:type="dcterms:W3CDTF">2022-08-12T12:51:27Z</dcterms:created>
  <dcterms:modified xsi:type="dcterms:W3CDTF">2023-12-28T12:57:05Z</dcterms:modified>
</cp:coreProperties>
</file>